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260" tabRatio="606" activeTab="2"/>
  </bookViews>
  <sheets>
    <sheet name="Budget-Actual" sheetId="1" r:id="rId1"/>
    <sheet name="Special Revenue(1)" sheetId="2" r:id="rId2"/>
    <sheet name="Special Revenue(2)" sheetId="3" r:id="rId3"/>
  </sheets>
  <definedNames>
    <definedName name="ACwvu.CBWHOLE." localSheetId="1" hidden="1">'Special Revenue(1)'!$A$1:$N$60</definedName>
    <definedName name="ACwvu.CBWHOLE." localSheetId="2" hidden="1">'Special Revenue(2)'!$A$1:$N$44</definedName>
    <definedName name="ACwvu.Part._.1." localSheetId="1" hidden="1">'Special Revenue(1)'!#REF!</definedName>
    <definedName name="ACwvu.Part._.1." localSheetId="2" hidden="1">'Special Revenue(2)'!#REF!</definedName>
    <definedName name="ACwvu.Part._.2." localSheetId="1" hidden="1">'Special Revenue(1)'!#REF!</definedName>
    <definedName name="ACwvu.Part._.2." localSheetId="2" hidden="1">'Special Revenue(2)'!#REF!</definedName>
    <definedName name="ACwvu.WHOLE." localSheetId="1" hidden="1">'Special Revenue(1)'!$A$1:$N$60</definedName>
    <definedName name="ACwvu.WHOLE." localSheetId="2" hidden="1">'Special Revenue(2)'!$A$1:$N$44</definedName>
    <definedName name="BudtoAct" localSheetId="2" hidden="1">{"Part 1",#N/A,FALSE,"Print1"}</definedName>
    <definedName name="BudtoAct" hidden="1">{"Part 1",#N/A,FALSE,"Print1"}</definedName>
    <definedName name="Combining" localSheetId="2" hidden="1">{"Part 2",#N/A,FALSE,"Print1"}</definedName>
    <definedName name="Combining" hidden="1">{"Part 2",#N/A,FALSE,"Print1"}</definedName>
    <definedName name="Pages" localSheetId="2" hidden="1">{"Part 2",#N/A,FALSE,"Print1"}</definedName>
    <definedName name="Pages" hidden="1">{"Part 2",#N/A,FALSE,"Print1"}</definedName>
    <definedName name="_xlnm.Print_Area" localSheetId="0">'Budget-Actual'!$A$1:$P$53</definedName>
    <definedName name="_xlnm.Print_Area" localSheetId="1">'Special Revenue(1)'!$A$1:$P$50</definedName>
    <definedName name="_xlnm.Print_Area" localSheetId="2">'Special Revenue(2)'!$A$1:$M$37</definedName>
    <definedName name="Print2" localSheetId="2" hidden="1">{"Part 1",#N/A,FALSE,"Print1"}</definedName>
    <definedName name="Print2" hidden="1">{"Part 1",#N/A,FALSE,"Print1"}</definedName>
    <definedName name="Rwvu.Part._.1." localSheetId="1" hidden="1">'Special Revenue(1)'!$N:$N</definedName>
    <definedName name="Rwvu.Part._.1." localSheetId="2" hidden="1">'Special Revenue(2)'!$E:$N</definedName>
    <definedName name="Rwvu.Part._.2." localSheetId="1" hidden="1">'Special Revenue(1)'!$B:$M</definedName>
    <definedName name="Rwvu.Part._.2." localSheetId="2" hidden="1">'Special Revenue(2)'!#REF!</definedName>
    <definedName name="SRREV" localSheetId="1">'Special Revenue(1)'!#REF!</definedName>
    <definedName name="SRREV" localSheetId="2">'Special Revenue(2)'!#REF!</definedName>
    <definedName name="SRREV">#REF!</definedName>
    <definedName name="Swvu.CBWHOLE." localSheetId="1" hidden="1">'Special Revenue(1)'!$A$1:$N$60</definedName>
    <definedName name="Swvu.CBWHOLE." localSheetId="2" hidden="1">'Special Revenue(2)'!$A$1:$N$44</definedName>
    <definedName name="Swvu.Part._.1." localSheetId="1" hidden="1">'Special Revenue(1)'!#REF!</definedName>
    <definedName name="Swvu.Part._.1." localSheetId="2" hidden="1">'Special Revenue(2)'!#REF!</definedName>
    <definedName name="Swvu.Part._.2." localSheetId="1" hidden="1">'Special Revenue(1)'!#REF!</definedName>
    <definedName name="Swvu.Part._.2." localSheetId="2" hidden="1">'Special Revenue(2)'!#REF!</definedName>
    <definedName name="Swvu.WHOLE." localSheetId="1" hidden="1">'Special Revenue(1)'!$A$1:$N$60</definedName>
    <definedName name="Swvu.WHOLE." localSheetId="2" hidden="1">'Special Revenue(2)'!$A$1:$N$44</definedName>
    <definedName name="wrn.Print._.Part._.1." localSheetId="1" hidden="1">{"Part 1",#N/A,FALSE,"Print1"}</definedName>
    <definedName name="wrn.Print._.Part._.1." localSheetId="2" hidden="1">{"Part 1",#N/A,FALSE,"Print1"}</definedName>
    <definedName name="wrn.Print._.Part._.1." hidden="1">{"Part 1",#N/A,FALSE,"Print1"}</definedName>
    <definedName name="wrn.Print._.Part._.2." localSheetId="1" hidden="1">{"Part 2",#N/A,FALSE,"Print1"}</definedName>
    <definedName name="wrn.Print._.Part._.2." localSheetId="2" hidden="1">{"Part 2",#N/A,FALSE,"Print1"}</definedName>
    <definedName name="wrn.Print._.Part._.2." hidden="1">{"Part 2",#N/A,FALSE,"Print1"}</definedName>
    <definedName name="wvu.CBWHOLE." localSheetId="1" hidden="1">{TRUE,TRUE,-1.25,-15.5,604.5,327,FALSE,FALSE,TRUE,TRUE,0,29,#N/A,39,#N/A,13.928571428571429,23.470588235294116,1,FALSE,FALSE,3,TRUE,1,FALSE,100,"Swvu.CBWHOLE.","ACwvu.CBWHOLE.",82,FALSE,FALSE,0.6,0.38,0.45,0.35,1,"","&amp;C&amp;P",FALSE,FALSE,FALSE,FALSE,1,#N/A,2,1,"=R1C1:R53C18",FALSE,#N/A,#N/A,FALSE,FALSE,FALSE,1,65532,600,FALSE,FALSE,TRUE,TRUE,TRUE}</definedName>
    <definedName name="wvu.CBWHOLE." localSheetId="2" hidden="1">{TRUE,TRUE,-1.25,-15.5,604.5,327,FALSE,FALSE,TRUE,TRUE,0,29,#N/A,39,#N/A,13.928571428571429,23.470588235294116,1,FALSE,FALSE,3,TRUE,1,FALSE,100,"Swvu.CBWHOLE.","ACwvu.CBWHOLE.",82,FALSE,FALSE,0.6,0.38,0.45,0.35,1,"","&amp;C&amp;P",FALSE,FALSE,FALSE,FALSE,1,#N/A,2,1,"=R1C1:R53C18",FALSE,#N/A,#N/A,FALSE,FALSE,FALSE,1,65532,600,FALSE,FALSE,TRUE,TRUE,TRUE}</definedName>
    <definedName name="wvu.Part._.1." localSheetId="1" hidden="1">{TRUE,TRUE,-1.25,-15.5,604.5,327,FALSE,FALSE,TRUE,TRUE,0,8,#N/A,1,#N/A,34.482142857142854,19.875,1,FALSE,FALSE,3,TRUE,1,FALSE,100,"Swvu.Part._.1.","ACwvu.Part._.1.",82,FALSE,FALSE,0.6,0.38,0.45,0.35,1,"","&amp;C&amp;P",FALSE,FALSE,FALSE,FALSE,1,#N/A,2,1,"=R1C1:R53C18",FALSE,"Rwvu.Part._.1.",#N/A,FALSE,FALSE,FALSE,1,65532,600,FALSE,FALSE,TRUE,TRUE,TRUE}</definedName>
    <definedName name="wvu.Part._.1." localSheetId="2" hidden="1">{TRUE,TRUE,-1.25,-15.5,604.5,327,FALSE,FALSE,TRUE,TRUE,0,8,#N/A,1,#N/A,34.482142857142854,19.875,1,FALSE,FALSE,3,TRUE,1,FALSE,100,"Swvu.Part._.1.","ACwvu.Part._.1.",82,FALSE,FALSE,0.6,0.38,0.45,0.35,1,"","&amp;C&amp;P",FALSE,FALSE,FALSE,FALSE,1,#N/A,2,1,"=R1C1:R53C18",FALSE,"Rwvu.Part._.1.",#N/A,FALSE,FALSE,FALSE,1,65532,600,FALSE,FALSE,TRUE,TRUE,TRUE}</definedName>
    <definedName name="wvu.Part._.2." localSheetId="1" hidden="1">{TRUE,TRUE,-1.25,-15.5,604.5,327,FALSE,FALSE,TRUE,TRUE,0,1,#N/A,1,#N/A,26.953846153846154,19.875,1,FALSE,FALSE,3,TRUE,1,FALSE,100,"Swvu.Part._.2.","ACwvu.Part._.2.",82,FALSE,FALSE,0.6,0.38,0.45,0.35,1,"","&amp;C&amp;P",FALSE,FALSE,FALSE,FALSE,1,#N/A,2,1,"=R1C1:R53C36",FALSE,"Rwvu.Part._.2.",#N/A,FALSE,FALSE,FALSE,1,65532,600,FALSE,FALSE,TRUE,TRUE,TRUE}</definedName>
    <definedName name="wvu.Part._.2." localSheetId="2" hidden="1">{TRUE,TRUE,-1.25,-15.5,604.5,327,FALSE,FALSE,TRUE,TRUE,0,1,#N/A,1,#N/A,26.953846153846154,19.875,1,FALSE,FALSE,3,TRUE,1,FALSE,100,"Swvu.Part._.2.","ACwvu.Part._.2.",82,FALSE,FALSE,0.6,0.38,0.45,0.35,1,"","&amp;C&amp;P",FALSE,FALSE,FALSE,FALSE,1,#N/A,2,1,"=R1C1:R53C36",FALSE,"Rwvu.Part._.2.",#N/A,FALSE,FALSE,FALSE,1,65532,600,FALSE,FALSE,TRUE,TRUE,TRUE}</definedName>
    <definedName name="wvu.WHOLE." localSheetId="1" hidden="1">{TRUE,FALSE,-1.25,-15.5,604.5,327,FALSE,FALSE,TRUE,TRUE,0,1,#N/A,1,#N/A,9.184615384615384,19.875,1,FALSE,FALSE,3,TRUE,1,FALSE,100,"Swvu.WHOLE.","ACwvu.WHOLE.",82,FALSE,FALSE,0.6,0.38,0.45,0.35,1,"","&amp;C&amp;P",FALSE,FALSE,FALSE,FALSE,1,#N/A,2,1,"=R1C1:R53C36",FALSE,FALSE,FALSE,FALSE,FALSE,FALSE,1,65532,600,FALSE,FALSE,TRUE,TRUE,TRUE}</definedName>
    <definedName name="wvu.WHOLE." localSheetId="2" hidden="1">{TRUE,FALSE,-1.25,-15.5,604.5,327,FALSE,FALSE,TRUE,TRUE,0,1,#N/A,1,#N/A,9.184615384615384,19.875,1,FALSE,FALSE,3,TRUE,1,FALSE,100,"Swvu.WHOLE.","ACwvu.WHOLE.",82,FALSE,FALSE,0.6,0.38,0.45,0.35,1,"","&amp;C&amp;P",FALSE,FALSE,FALSE,FALSE,1,#N/A,2,1,"=R1C1:R53C36",FALSE,FALSE,FALSE,FALSE,FALSE,FALSE,1,65532,600,FALSE,FALSE,TRUE,TRUE,TRUE}</definedName>
    <definedName name="Z_31A2E263_ECC0_11D2_8B5E_00105A1F041F_.wvu.PrintArea" localSheetId="1" hidden="1">'Special Revenue(1)'!$A$1:$M$55</definedName>
    <definedName name="Z_31A2E263_ECC0_11D2_8B5E_00105A1F041F_.wvu.PrintArea" localSheetId="2" hidden="1">'Special Revenue(2)'!$A$1:$A$39</definedName>
    <definedName name="Z_31A2E264_ECC0_11D2_8B5E_00105A1F041F_.wvu.Cols" localSheetId="1" hidden="1">'Special Revenue(1)'!$N:$N</definedName>
    <definedName name="Z_31A2E264_ECC0_11D2_8B5E_00105A1F041F_.wvu.Cols" localSheetId="2" hidden="1">'Special Revenue(2)'!$E:$N</definedName>
    <definedName name="Z_31A2E264_ECC0_11D2_8B5E_00105A1F041F_.wvu.PrintArea" localSheetId="1" hidden="1">'Special Revenue(1)'!$A$1:$M$55</definedName>
    <definedName name="Z_31A2E264_ECC0_11D2_8B5E_00105A1F041F_.wvu.PrintArea" localSheetId="2" hidden="1">'Special Revenue(2)'!$A$1:$A$39</definedName>
    <definedName name="Z_31A2E265_ECC0_11D2_8B5E_00105A1F041F_.wvu.Cols" localSheetId="1" hidden="1">'Special Revenue(1)'!$B:$M</definedName>
    <definedName name="Z_31A2E265_ECC0_11D2_8B5E_00105A1F041F_.wvu.Cols" localSheetId="2" hidden="1">'Special Revenue(2)'!#REF!</definedName>
    <definedName name="Z_31A2E265_ECC0_11D2_8B5E_00105A1F041F_.wvu.PrintArea" localSheetId="1" hidden="1">'Special Revenue(1)'!$A$1:$N$55</definedName>
    <definedName name="Z_31A2E265_ECC0_11D2_8B5E_00105A1F041F_.wvu.PrintArea" localSheetId="2" hidden="1">'Special Revenue(2)'!$A$1:$N$39</definedName>
    <definedName name="Z_31A2E266_ECC0_11D2_8B5E_00105A1F041F_.wvu.PrintArea" localSheetId="1" hidden="1">'Special Revenue(1)'!$A$1:$N$55</definedName>
    <definedName name="Z_31A2E266_ECC0_11D2_8B5E_00105A1F041F_.wvu.PrintArea" localSheetId="2" hidden="1">'Special Revenue(2)'!$A$1:$N$39</definedName>
  </definedNames>
  <calcPr fullCalcOnLoad="1"/>
</workbook>
</file>

<file path=xl/sharedStrings.xml><?xml version="1.0" encoding="utf-8"?>
<sst xmlns="http://schemas.openxmlformats.org/spreadsheetml/2006/main" count="176" uniqueCount="98">
  <si>
    <t>Budget and Actual - Non-GAAP Budgetary Basis</t>
  </si>
  <si>
    <t>(Expressed in Thousands)</t>
  </si>
  <si>
    <t>General Fund</t>
  </si>
  <si>
    <t>Budget</t>
  </si>
  <si>
    <t>Actual</t>
  </si>
  <si>
    <t>Original</t>
  </si>
  <si>
    <t>Final</t>
  </si>
  <si>
    <t>Variance with</t>
  </si>
  <si>
    <t>Transportation Fund</t>
  </si>
  <si>
    <t>General and Transportation Funds</t>
  </si>
  <si>
    <t>Final Budget</t>
  </si>
  <si>
    <t>Revenues</t>
  </si>
  <si>
    <t>Budgeted:</t>
  </si>
  <si>
    <t xml:space="preserve">   Taxes, Net of Refunds</t>
  </si>
  <si>
    <t xml:space="preserve">   Operating Transfers In</t>
  </si>
  <si>
    <t xml:space="preserve">   Casino Gaming Payments</t>
  </si>
  <si>
    <t xml:space="preserve">   Licenses, Permits, and Fees</t>
  </si>
  <si>
    <t xml:space="preserve">   Other</t>
  </si>
  <si>
    <t xml:space="preserve">   Federal Grants</t>
  </si>
  <si>
    <t xml:space="preserve">   Operating Transfers Out</t>
  </si>
  <si>
    <t xml:space="preserve">     Total Revenues</t>
  </si>
  <si>
    <t>Expenditures</t>
  </si>
  <si>
    <t xml:space="preserve">   Legislative</t>
  </si>
  <si>
    <t xml:space="preserve">   General Government</t>
  </si>
  <si>
    <t xml:space="preserve">   Regulation and Protection</t>
  </si>
  <si>
    <t xml:space="preserve">   Conservation and Development</t>
  </si>
  <si>
    <t xml:space="preserve">   Health and Hospitals</t>
  </si>
  <si>
    <t xml:space="preserve">   Transportation</t>
  </si>
  <si>
    <t xml:space="preserve">   Human Services</t>
  </si>
  <si>
    <t xml:space="preserve">   Education, Libraries, and Museums</t>
  </si>
  <si>
    <t xml:space="preserve">   Corrections</t>
  </si>
  <si>
    <t xml:space="preserve">   Judicial</t>
  </si>
  <si>
    <t xml:space="preserve">   Non Functional</t>
  </si>
  <si>
    <t xml:space="preserve">     Total Expenditures</t>
  </si>
  <si>
    <t xml:space="preserve">   Over Expenditures</t>
  </si>
  <si>
    <t>Other Financing Sources (Uses)</t>
  </si>
  <si>
    <t xml:space="preserve">     Total Other Financing Sources (Uses)</t>
  </si>
  <si>
    <t>Changes in Reserves</t>
  </si>
  <si>
    <t>Budgetary Fund Balances - June 30</t>
  </si>
  <si>
    <t>The accompanying notes are an integral part of the financial statements.</t>
  </si>
  <si>
    <t>Appropriations Lapsed</t>
  </si>
  <si>
    <t xml:space="preserve">   Excess (Deficiency) of Revenues</t>
  </si>
  <si>
    <t>Prior Year Appropriations Carried Forward</t>
  </si>
  <si>
    <t>Miscellaneous Adjustments</t>
  </si>
  <si>
    <t xml:space="preserve">     Net Change in Fund Balance</t>
  </si>
  <si>
    <t>Statement of Revenues, Expenditures, and Changes in Fund Balances</t>
  </si>
  <si>
    <t>Changes in Fund Balances</t>
  </si>
  <si>
    <t>Workers' Compensation</t>
  </si>
  <si>
    <t>Banking</t>
  </si>
  <si>
    <t>Consumer Counsel &amp; Public Utility Control</t>
  </si>
  <si>
    <t>Insurance</t>
  </si>
  <si>
    <t>Criminal Injuries Compensation</t>
  </si>
  <si>
    <t>and Mohegan Fund</t>
  </si>
  <si>
    <t>Regional Market</t>
  </si>
  <si>
    <t>Soldiers, Sailors, and Marines</t>
  </si>
  <si>
    <t>Variance</t>
  </si>
  <si>
    <t>Excess (Deficiency) of Revenues</t>
  </si>
  <si>
    <t>Continued on next page</t>
  </si>
  <si>
    <t>Schedule of Revenues, Expenditures, and</t>
  </si>
  <si>
    <t xml:space="preserve">Budgeted Nonmajor Special Revenue Funds </t>
  </si>
  <si>
    <t xml:space="preserve">  Operating Transfers In</t>
  </si>
  <si>
    <t xml:space="preserve">    Total Budgeted Revenues</t>
  </si>
  <si>
    <t xml:space="preserve">  Regulation and Protection</t>
  </si>
  <si>
    <t xml:space="preserve">  Conservation and Development</t>
  </si>
  <si>
    <t xml:space="preserve">  Human Services</t>
  </si>
  <si>
    <t xml:space="preserve">    Total Budgeted Expenditures</t>
  </si>
  <si>
    <t xml:space="preserve">  Over Expenditures</t>
  </si>
  <si>
    <t xml:space="preserve">    Total Other Financing Sources (Uses)</t>
  </si>
  <si>
    <t>Budgetary Fund Balances - July 1</t>
  </si>
  <si>
    <t xml:space="preserve">  Prior Year Appropriations Carried Forward</t>
  </si>
  <si>
    <t>Mashantucket Pequot</t>
  </si>
  <si>
    <t>Budgeted Nonmajor Special Revenue Funds (Continued)</t>
  </si>
  <si>
    <t>Net Change in Fund Balances</t>
  </si>
  <si>
    <t xml:space="preserve">   Refunds of Payments</t>
  </si>
  <si>
    <t>positive</t>
  </si>
  <si>
    <t>(negative)</t>
  </si>
  <si>
    <t xml:space="preserve">   Transfer Out - Transportation Strategy Board</t>
  </si>
  <si>
    <t>CF</t>
  </si>
  <si>
    <t>IA</t>
  </si>
  <si>
    <t>adj</t>
  </si>
  <si>
    <t>initial</t>
  </si>
  <si>
    <t>chgs</t>
  </si>
  <si>
    <t xml:space="preserve">  Fees, Assessments, and  Other Income</t>
  </si>
  <si>
    <t xml:space="preserve">  Fees, Assessments, and Other Income</t>
  </si>
  <si>
    <t>changes</t>
  </si>
  <si>
    <t>adjustment</t>
  </si>
  <si>
    <t xml:space="preserve">       Total Other Financing Sources (Uses)</t>
  </si>
  <si>
    <t xml:space="preserve">  Judicial</t>
  </si>
  <si>
    <t xml:space="preserve">  Non Functional</t>
  </si>
  <si>
    <t xml:space="preserve">  General Government</t>
  </si>
  <si>
    <t>For the Fiscal Year Ended June 30, 2012</t>
  </si>
  <si>
    <t xml:space="preserve">   Transfer from the Resources of the General Fund</t>
  </si>
  <si>
    <t xml:space="preserve">  Use of Fund Balance from Prior Years</t>
  </si>
  <si>
    <t xml:space="preserve">    Use of Fund Balance from Prior Years</t>
  </si>
  <si>
    <t>Release of 2011 Surplus Reserve</t>
  </si>
  <si>
    <t>Appropriations Continued to Fiscal Year 2013</t>
  </si>
  <si>
    <t xml:space="preserve">  Appropriations Continued to Fiscal Year 2013</t>
  </si>
  <si>
    <t xml:space="preserve">   Appropriations Continued to Fiscal Year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</si>
</sst>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m/d/yy\ h:mm\ AM/PM"/>
    <numFmt numFmtId="170" formatCode="mm/dd/yy"/>
    <numFmt numFmtId="171" formatCode=";;;"/>
    <numFmt numFmtId="172" formatCode="_(* #,##0.000_);_(* \(#,##0.000\);_(* &quot;-&quot;??_);_(@_)"/>
    <numFmt numFmtId="173" formatCode="_(* #,##0.0000_);_(* \(#,##0.0000\);_(* &quot;-&quot;??_);_(@_)"/>
  </numFmts>
  <fonts count="2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Accounting"/>
      <sz val="10"/>
      <name val="Times New Roman"/>
      <family val="1"/>
    </font>
    <font>
      <u val="doubleAccounting"/>
      <sz val="10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"/>
      <sz val="10"/>
      <name val="Tms Rmn"/>
      <family val="0"/>
    </font>
    <font>
      <b/>
      <sz val="10"/>
      <name val="Tms Rmn"/>
      <family val="0"/>
    </font>
    <font>
      <sz val="8"/>
      <name val="Times New Roman"/>
      <family val="0"/>
    </font>
    <font>
      <sz val="7"/>
      <name val="Times New Roman"/>
      <family val="0"/>
    </font>
    <font>
      <u val="singleAccounting"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0" fillId="0" borderId="0" xfId="15" applyNumberFormat="1" applyFont="1" applyBorder="1" applyAlignment="1" applyProtection="1">
      <alignment/>
      <protection/>
    </xf>
    <xf numFmtId="166" fontId="4" fillId="0" borderId="0" xfId="15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 quotePrefix="1">
      <alignment horizontal="left"/>
      <protection/>
    </xf>
    <xf numFmtId="165" fontId="0" fillId="0" borderId="0" xfId="17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44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164" fontId="10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 quotePrefix="1">
      <alignment horizontal="left"/>
      <protection/>
    </xf>
    <xf numFmtId="164" fontId="14" fillId="0" borderId="0" xfId="0" applyNumberFormat="1" applyFont="1" applyAlignment="1" applyProtection="1" quotePrefix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Border="1" applyAlignment="1" applyProtection="1" quotePrefix="1">
      <alignment horizontal="left"/>
      <protection/>
    </xf>
    <xf numFmtId="171" fontId="0" fillId="0" borderId="0" xfId="0" applyNumberFormat="1" applyFont="1" applyAlignment="1">
      <alignment/>
    </xf>
    <xf numFmtId="164" fontId="6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quotePrefix="1">
      <alignment horizontal="center"/>
    </xf>
    <xf numFmtId="0" fontId="11" fillId="2" borderId="0" xfId="0" applyFont="1" applyFill="1" applyBorder="1" applyAlignment="1" quotePrefix="1">
      <alignment horizontal="left"/>
    </xf>
    <xf numFmtId="165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164" fontId="16" fillId="0" borderId="0" xfId="0" applyNumberFormat="1" applyFont="1" applyBorder="1" applyAlignment="1" applyProtection="1">
      <alignment horizontal="left"/>
      <protection/>
    </xf>
    <xf numFmtId="41" fontId="17" fillId="0" borderId="0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164" fontId="18" fillId="0" borderId="0" xfId="0" applyNumberFormat="1" applyFont="1" applyBorder="1" applyAlignment="1" applyProtection="1" quotePrefix="1">
      <alignment horizontal="left"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9" fillId="0" borderId="0" xfId="0" applyNumberFormat="1" applyFont="1" applyAlignment="1" applyProtection="1">
      <alignment horizontal="centerContinuous"/>
      <protection/>
    </xf>
    <xf numFmtId="0" fontId="1" fillId="0" borderId="0" xfId="0" applyFont="1" applyBorder="1" applyAlignment="1" quotePrefix="1">
      <alignment horizontal="left"/>
    </xf>
    <xf numFmtId="166" fontId="0" fillId="0" borderId="0" xfId="15" applyNumberFormat="1" applyFont="1" applyFill="1" applyBorder="1" applyAlignment="1">
      <alignment/>
    </xf>
    <xf numFmtId="165" fontId="8" fillId="0" borderId="0" xfId="17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1" fontId="17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166" fontId="0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166" fontId="0" fillId="0" borderId="0" xfId="0" applyNumberFormat="1" applyFont="1" applyAlignment="1">
      <alignment/>
    </xf>
    <xf numFmtId="166" fontId="8" fillId="0" borderId="0" xfId="15" applyNumberFormat="1" applyFont="1" applyAlignment="1">
      <alignment/>
    </xf>
    <xf numFmtId="43" fontId="0" fillId="0" borderId="0" xfId="15" applyFont="1" applyAlignment="1">
      <alignment/>
    </xf>
    <xf numFmtId="166" fontId="8" fillId="0" borderId="0" xfId="15" applyNumberFormat="1" applyFont="1" applyFill="1" applyBorder="1" applyAlignment="1">
      <alignment/>
    </xf>
    <xf numFmtId="165" fontId="9" fillId="0" borderId="0" xfId="17" applyNumberFormat="1" applyFont="1" applyFill="1" applyBorder="1" applyAlignment="1">
      <alignment/>
    </xf>
    <xf numFmtId="165" fontId="5" fillId="0" borderId="0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43" fontId="4" fillId="0" borderId="0" xfId="15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7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66" fontId="4" fillId="0" borderId="0" xfId="15" applyNumberFormat="1" applyFont="1" applyBorder="1" applyAlignment="1">
      <alignment/>
    </xf>
    <xf numFmtId="22" fontId="1" fillId="0" borderId="0" xfId="0" applyNumberFormat="1" applyFont="1" applyBorder="1" applyAlignment="1">
      <alignment/>
    </xf>
    <xf numFmtId="22" fontId="23" fillId="0" borderId="0" xfId="0" applyNumberFormat="1" applyFont="1" applyAlignment="1">
      <alignment/>
    </xf>
    <xf numFmtId="22" fontId="0" fillId="0" borderId="0" xfId="0" applyNumberFormat="1" applyFont="1" applyBorder="1" applyAlignment="1">
      <alignment/>
    </xf>
    <xf numFmtId="22" fontId="0" fillId="0" borderId="0" xfId="0" applyNumberFormat="1" applyAlignment="1">
      <alignment/>
    </xf>
    <xf numFmtId="164" fontId="14" fillId="3" borderId="0" xfId="0" applyNumberFormat="1" applyFont="1" applyFill="1" applyAlignment="1" applyProtection="1" quotePrefix="1">
      <alignment horizontal="left"/>
      <protection/>
    </xf>
    <xf numFmtId="164" fontId="6" fillId="3" borderId="0" xfId="0" applyNumberFormat="1" applyFont="1" applyFill="1" applyAlignment="1" applyProtection="1">
      <alignment horizontal="left"/>
      <protection/>
    </xf>
    <xf numFmtId="164" fontId="6" fillId="3" borderId="0" xfId="0" applyNumberFormat="1" applyFont="1" applyFill="1" applyBorder="1" applyAlignment="1" applyProtection="1" quotePrefix="1">
      <alignment horizontal="left"/>
      <protection/>
    </xf>
    <xf numFmtId="164" fontId="7" fillId="3" borderId="0" xfId="0" applyNumberFormat="1" applyFont="1" applyFill="1" applyAlignment="1" applyProtection="1" quotePrefix="1">
      <alignment horizontal="left"/>
      <protection/>
    </xf>
    <xf numFmtId="0" fontId="1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64" fontId="12" fillId="3" borderId="0" xfId="0" applyNumberFormat="1" applyFont="1" applyFill="1" applyBorder="1" applyAlignment="1" applyProtection="1" quotePrefix="1">
      <alignment horizontal="left"/>
      <protection/>
    </xf>
    <xf numFmtId="164" fontId="13" fillId="3" borderId="0" xfId="0" applyNumberFormat="1" applyFont="1" applyFill="1" applyBorder="1" applyAlignment="1" applyProtection="1" quotePrefix="1">
      <alignment horizontal="left"/>
      <protection/>
    </xf>
    <xf numFmtId="164" fontId="0" fillId="3" borderId="0" xfId="0" applyNumberFormat="1" applyFont="1" applyFill="1" applyBorder="1" applyAlignment="1" applyProtection="1" quotePrefix="1">
      <alignment horizontal="left"/>
      <protection/>
    </xf>
    <xf numFmtId="164" fontId="13" fillId="3" borderId="0" xfId="0" applyNumberFormat="1" applyFont="1" applyFill="1" applyBorder="1" applyAlignment="1" applyProtection="1">
      <alignment horizontal="right"/>
      <protection/>
    </xf>
    <xf numFmtId="166" fontId="0" fillId="3" borderId="0" xfId="15" applyNumberFormat="1" applyFont="1" applyFill="1" applyAlignment="1">
      <alignment/>
    </xf>
    <xf numFmtId="166" fontId="4" fillId="3" borderId="0" xfId="15" applyNumberFormat="1" applyFont="1" applyFill="1" applyAlignment="1">
      <alignment/>
    </xf>
    <xf numFmtId="166" fontId="0" fillId="3" borderId="0" xfId="0" applyNumberFormat="1" applyFont="1" applyFill="1" applyBorder="1" applyAlignment="1" applyProtection="1">
      <alignment/>
      <protection/>
    </xf>
    <xf numFmtId="41" fontId="13" fillId="3" borderId="0" xfId="0" applyNumberFormat="1" applyFont="1" applyFill="1" applyBorder="1" applyAlignment="1" applyProtection="1" quotePrefix="1">
      <alignment horizontal="left"/>
      <protection/>
    </xf>
    <xf numFmtId="164" fontId="16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Alignment="1">
      <alignment/>
    </xf>
    <xf numFmtId="164" fontId="1" fillId="3" borderId="0" xfId="0" applyNumberFormat="1" applyFont="1" applyFill="1" applyBorder="1" applyAlignment="1" applyProtection="1" quotePrefix="1">
      <alignment horizontal="left"/>
      <protection/>
    </xf>
    <xf numFmtId="164" fontId="1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>
      <alignment/>
    </xf>
    <xf numFmtId="165" fontId="0" fillId="3" borderId="0" xfId="17" applyNumberFormat="1" applyFont="1" applyFill="1" applyAlignment="1">
      <alignment/>
    </xf>
    <xf numFmtId="166" fontId="4" fillId="3" borderId="0" xfId="0" applyNumberFormat="1" applyFont="1" applyFill="1" applyBorder="1" applyAlignment="1" applyProtection="1">
      <alignment/>
      <protection/>
    </xf>
    <xf numFmtId="41" fontId="0" fillId="3" borderId="0" xfId="0" applyNumberFormat="1" applyFont="1" applyFill="1" applyBorder="1" applyAlignment="1" applyProtection="1" quotePrefix="1">
      <alignment horizontal="left"/>
      <protection/>
    </xf>
    <xf numFmtId="41" fontId="12" fillId="3" borderId="0" xfId="0" applyNumberFormat="1" applyFont="1" applyFill="1" applyBorder="1" applyAlignment="1" applyProtection="1" quotePrefix="1">
      <alignment horizontal="left"/>
      <protection/>
    </xf>
    <xf numFmtId="0" fontId="15" fillId="3" borderId="0" xfId="0" applyFont="1" applyFill="1" applyBorder="1" applyAlignment="1">
      <alignment horizontal="right"/>
    </xf>
    <xf numFmtId="22" fontId="0" fillId="3" borderId="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 quotePrefix="1">
      <alignment horizontal="center"/>
    </xf>
    <xf numFmtId="0" fontId="1" fillId="3" borderId="0" xfId="0" applyFont="1" applyFill="1" applyAlignment="1">
      <alignment horizontal="center"/>
    </xf>
    <xf numFmtId="41" fontId="17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66" fontId="4" fillId="3" borderId="0" xfId="15" applyNumberFormat="1" applyFont="1" applyFill="1" applyBorder="1" applyAlignment="1" applyProtection="1">
      <alignment/>
      <protection/>
    </xf>
    <xf numFmtId="165" fontId="9" fillId="3" borderId="0" xfId="0" applyNumberFormat="1" applyFont="1" applyFill="1" applyBorder="1" applyAlignment="1" applyProtection="1">
      <alignment/>
      <protection/>
    </xf>
    <xf numFmtId="171" fontId="0" fillId="3" borderId="0" xfId="0" applyNumberFormat="1" applyFont="1" applyFill="1" applyAlignment="1">
      <alignment/>
    </xf>
    <xf numFmtId="169" fontId="23" fillId="0" borderId="0" xfId="0" applyNumberFormat="1" applyFont="1" applyAlignment="1">
      <alignment/>
    </xf>
    <xf numFmtId="165" fontId="4" fillId="0" borderId="0" xfId="17" applyNumberFormat="1" applyFont="1" applyFill="1" applyBorder="1" applyAlignment="1">
      <alignment/>
    </xf>
    <xf numFmtId="22" fontId="24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/>
    </xf>
    <xf numFmtId="166" fontId="0" fillId="0" borderId="0" xfId="15" applyNumberFormat="1" applyFont="1" applyBorder="1" applyAlignment="1" quotePrefix="1">
      <alignment horizontal="left"/>
    </xf>
    <xf numFmtId="166" fontId="13" fillId="0" borderId="0" xfId="15" applyNumberFormat="1" applyFont="1" applyBorder="1" applyAlignment="1" quotePrefix="1">
      <alignment horizontal="left"/>
    </xf>
    <xf numFmtId="166" fontId="25" fillId="0" borderId="0" xfId="15" applyNumberFormat="1" applyFont="1" applyBorder="1" applyAlignment="1">
      <alignment horizontal="left"/>
    </xf>
    <xf numFmtId="166" fontId="3" fillId="0" borderId="0" xfId="15" applyNumberFormat="1" applyFont="1" applyFill="1" applyBorder="1" applyAlignment="1">
      <alignment/>
    </xf>
    <xf numFmtId="43" fontId="13" fillId="0" borderId="0" xfId="15" applyFont="1" applyBorder="1" applyAlignment="1" quotePrefix="1">
      <alignment horizontal="left"/>
    </xf>
    <xf numFmtId="0" fontId="13" fillId="0" borderId="0" xfId="0" applyFont="1" applyBorder="1" applyAlignment="1">
      <alignment horizontal="right"/>
    </xf>
    <xf numFmtId="43" fontId="12" fillId="0" borderId="0" xfId="15" applyFont="1" applyBorder="1" applyAlignment="1">
      <alignment horizontal="left"/>
    </xf>
    <xf numFmtId="43" fontId="25" fillId="0" borderId="0" xfId="15" applyFont="1" applyBorder="1" applyAlignment="1">
      <alignment horizontal="right"/>
    </xf>
    <xf numFmtId="41" fontId="12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20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3" fontId="25" fillId="0" borderId="0" xfId="15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5"/>
  <sheetViews>
    <sheetView showGridLines="0" workbookViewId="0" topLeftCell="A38">
      <selection activeCell="A43" sqref="A43"/>
    </sheetView>
  </sheetViews>
  <sheetFormatPr defaultColWidth="9.33203125" defaultRowHeight="12.75"/>
  <cols>
    <col min="1" max="1" width="45.66015625" style="0" customWidth="1"/>
    <col min="2" max="2" width="12.5" style="109" hidden="1" customWidth="1"/>
    <col min="3" max="3" width="10.5" style="109" hidden="1" customWidth="1"/>
    <col min="4" max="4" width="0.1640625" style="109" hidden="1" customWidth="1"/>
    <col min="5" max="5" width="12.5" style="0" bestFit="1" customWidth="1"/>
    <col min="6" max="6" width="15" style="0" customWidth="1"/>
    <col min="7" max="7" width="15.33203125" style="0" customWidth="1"/>
    <col min="8" max="8" width="16.33203125" style="0" customWidth="1"/>
    <col min="9" max="10" width="16.66015625" style="109" hidden="1" customWidth="1"/>
    <col min="11" max="11" width="0.1640625" style="109" hidden="1" customWidth="1"/>
    <col min="12" max="12" width="17.83203125" style="0" customWidth="1"/>
    <col min="13" max="13" width="18.16015625" style="0" customWidth="1"/>
    <col min="14" max="14" width="16.83203125" style="0" customWidth="1"/>
    <col min="15" max="15" width="15.83203125" style="0" bestFit="1" customWidth="1"/>
    <col min="16" max="16" width="19.83203125" style="0" customWidth="1"/>
  </cols>
  <sheetData>
    <row r="1" spans="1:16" ht="20.25">
      <c r="A1" s="34" t="s">
        <v>45</v>
      </c>
      <c r="B1" s="94"/>
      <c r="C1" s="94"/>
      <c r="D1" s="94"/>
      <c r="E1" s="40"/>
      <c r="F1" s="2"/>
      <c r="G1" s="2"/>
      <c r="H1" s="42"/>
      <c r="I1" s="117"/>
      <c r="J1" s="117"/>
      <c r="K1" s="117"/>
      <c r="L1" s="2"/>
      <c r="M1" s="2"/>
      <c r="N1" s="2"/>
      <c r="O1" s="90"/>
      <c r="P1" s="42"/>
    </row>
    <row r="2" spans="1:15" ht="20.25">
      <c r="A2" s="8" t="s">
        <v>0</v>
      </c>
      <c r="B2" s="95"/>
      <c r="C2" s="95"/>
      <c r="D2" s="95"/>
      <c r="E2" s="34"/>
      <c r="H2" s="92"/>
      <c r="I2" s="118"/>
      <c r="J2" s="118"/>
      <c r="K2" s="118"/>
      <c r="O2" s="92"/>
    </row>
    <row r="3" spans="1:5" ht="20.25">
      <c r="A3" s="38" t="s">
        <v>9</v>
      </c>
      <c r="B3" s="96"/>
      <c r="C3" s="96"/>
      <c r="D3" s="96"/>
      <c r="E3" s="35"/>
    </row>
    <row r="4" spans="1:11" s="46" customFormat="1" ht="15.75">
      <c r="A4" s="9" t="s">
        <v>90</v>
      </c>
      <c r="B4" s="97"/>
      <c r="C4" s="97"/>
      <c r="D4" s="97"/>
      <c r="E4" s="45"/>
      <c r="I4" s="119"/>
      <c r="J4" s="119"/>
      <c r="K4" s="119"/>
    </row>
    <row r="5" spans="1:15" s="46" customFormat="1" ht="15.75">
      <c r="A5" s="9" t="s">
        <v>1</v>
      </c>
      <c r="B5" s="97"/>
      <c r="C5" s="97"/>
      <c r="D5" s="97"/>
      <c r="E5" s="47"/>
      <c r="F5" s="48"/>
      <c r="G5" s="48"/>
      <c r="H5" s="48"/>
      <c r="I5" s="120"/>
      <c r="J5" s="120"/>
      <c r="K5" s="120"/>
      <c r="L5" s="48"/>
      <c r="M5" s="48"/>
      <c r="N5" s="48"/>
      <c r="O5" s="48"/>
    </row>
    <row r="6" spans="1:15" s="46" customFormat="1" ht="17.25">
      <c r="A6" s="9"/>
      <c r="B6" s="97"/>
      <c r="C6" s="97"/>
      <c r="D6" s="97"/>
      <c r="E6" s="144" t="s">
        <v>2</v>
      </c>
      <c r="F6" s="144"/>
      <c r="G6" s="144"/>
      <c r="H6" s="144"/>
      <c r="I6" s="121"/>
      <c r="J6" s="121"/>
      <c r="K6" s="121"/>
      <c r="L6" s="144" t="s">
        <v>8</v>
      </c>
      <c r="M6" s="144"/>
      <c r="N6" s="144"/>
      <c r="O6" s="144"/>
    </row>
    <row r="7" spans="1:15" ht="12.75">
      <c r="A7" s="11"/>
      <c r="B7" s="98"/>
      <c r="C7" s="98"/>
      <c r="D7" s="98"/>
      <c r="H7" s="39" t="s">
        <v>7</v>
      </c>
      <c r="I7" s="122"/>
      <c r="J7" s="122"/>
      <c r="K7" s="122"/>
      <c r="O7" s="39" t="s">
        <v>7</v>
      </c>
    </row>
    <row r="8" spans="1:15" ht="12.75">
      <c r="A8" s="11"/>
      <c r="B8" s="98"/>
      <c r="C8" s="98"/>
      <c r="D8" s="98"/>
      <c r="H8" s="39" t="s">
        <v>10</v>
      </c>
      <c r="I8" s="122"/>
      <c r="J8" s="122"/>
      <c r="K8" s="122"/>
      <c r="O8" s="39" t="s">
        <v>10</v>
      </c>
    </row>
    <row r="9" spans="1:15" ht="15" customHeight="1">
      <c r="A9" s="12"/>
      <c r="B9" s="99"/>
      <c r="C9" s="99"/>
      <c r="D9" s="99"/>
      <c r="E9" s="143" t="s">
        <v>3</v>
      </c>
      <c r="F9" s="143"/>
      <c r="H9" s="55" t="s">
        <v>74</v>
      </c>
      <c r="I9" s="123"/>
      <c r="J9" s="123"/>
      <c r="K9" s="123"/>
      <c r="L9" s="143" t="s">
        <v>3</v>
      </c>
      <c r="M9" s="143"/>
      <c r="O9" s="55" t="s">
        <v>74</v>
      </c>
    </row>
    <row r="10" spans="1:15" ht="12.75">
      <c r="A10" s="36" t="s">
        <v>11</v>
      </c>
      <c r="B10" s="100"/>
      <c r="C10" s="100"/>
      <c r="D10" s="100"/>
      <c r="E10" s="44" t="s">
        <v>5</v>
      </c>
      <c r="F10" s="44" t="s">
        <v>6</v>
      </c>
      <c r="G10" s="44" t="s">
        <v>4</v>
      </c>
      <c r="H10" s="44" t="s">
        <v>75</v>
      </c>
      <c r="I10" s="124"/>
      <c r="J10" s="124"/>
      <c r="K10" s="124"/>
      <c r="L10" s="44" t="s">
        <v>5</v>
      </c>
      <c r="M10" s="44" t="s">
        <v>6</v>
      </c>
      <c r="N10" s="44" t="s">
        <v>4</v>
      </c>
      <c r="O10" s="44" t="s">
        <v>75</v>
      </c>
    </row>
    <row r="11" spans="1:15" ht="12.75">
      <c r="A11" s="33" t="s">
        <v>12</v>
      </c>
      <c r="B11" s="103" t="s">
        <v>80</v>
      </c>
      <c r="C11" s="103" t="s">
        <v>84</v>
      </c>
      <c r="D11" s="103" t="s">
        <v>85</v>
      </c>
      <c r="E11" s="36"/>
      <c r="F11" s="10"/>
      <c r="G11" s="10"/>
      <c r="H11" s="10"/>
      <c r="I11" s="103" t="s">
        <v>80</v>
      </c>
      <c r="J11" s="103" t="s">
        <v>81</v>
      </c>
      <c r="K11" s="103" t="s">
        <v>79</v>
      </c>
      <c r="L11" s="10"/>
      <c r="M11" s="10"/>
      <c r="N11" s="10"/>
      <c r="O11" s="10"/>
    </row>
    <row r="12" spans="1:15" ht="12.75">
      <c r="A12" s="14" t="s">
        <v>13</v>
      </c>
      <c r="B12" s="113">
        <v>11250700</v>
      </c>
      <c r="C12" s="115">
        <f>12453200-11250700</f>
        <v>1202500</v>
      </c>
      <c r="D12" s="115">
        <v>7400</v>
      </c>
      <c r="E12" s="15">
        <v>14019100</v>
      </c>
      <c r="F12" s="15">
        <v>13824400</v>
      </c>
      <c r="G12" s="15">
        <v>13804369</v>
      </c>
      <c r="H12" s="15">
        <f>G12-F12</f>
        <v>-20031</v>
      </c>
      <c r="I12" s="113">
        <v>707000</v>
      </c>
      <c r="J12" s="115"/>
      <c r="K12" s="113">
        <v>-20600</v>
      </c>
      <c r="L12" s="15">
        <v>798600</v>
      </c>
      <c r="M12" s="16">
        <v>788300</v>
      </c>
      <c r="N12" s="16">
        <v>789306</v>
      </c>
      <c r="O12" s="16">
        <f aca="true" t="shared" si="0" ref="O12:O21">N12-M12</f>
        <v>1006</v>
      </c>
    </row>
    <row r="13" spans="1:15" ht="12.75">
      <c r="A13" s="14" t="s">
        <v>15</v>
      </c>
      <c r="B13" s="104">
        <v>438700</v>
      </c>
      <c r="C13" s="115">
        <f>437500-438700</f>
        <v>-1200</v>
      </c>
      <c r="D13" s="115">
        <v>-26000</v>
      </c>
      <c r="E13" s="3">
        <v>375500</v>
      </c>
      <c r="F13" s="3">
        <v>344600</v>
      </c>
      <c r="G13" s="3">
        <v>344645</v>
      </c>
      <c r="H13" s="3">
        <f aca="true" t="shared" si="1" ref="H13:H20">G13-F13</f>
        <v>45</v>
      </c>
      <c r="I13" s="104">
        <v>0</v>
      </c>
      <c r="J13" s="115"/>
      <c r="K13" s="104">
        <v>0</v>
      </c>
      <c r="L13" s="3">
        <v>0</v>
      </c>
      <c r="M13" s="17">
        <v>0</v>
      </c>
      <c r="N13" s="30">
        <v>0</v>
      </c>
      <c r="O13" s="17">
        <f t="shared" si="0"/>
        <v>0</v>
      </c>
    </row>
    <row r="14" spans="1:15" ht="12.75">
      <c r="A14" s="14" t="s">
        <v>16</v>
      </c>
      <c r="B14" s="104">
        <v>140200</v>
      </c>
      <c r="C14" s="115">
        <f>163600-140200</f>
        <v>23400</v>
      </c>
      <c r="D14" s="115">
        <v>6900</v>
      </c>
      <c r="E14" s="3">
        <v>271200</v>
      </c>
      <c r="F14" s="3">
        <v>283400</v>
      </c>
      <c r="G14" s="3">
        <v>283414</v>
      </c>
      <c r="H14" s="3">
        <f t="shared" si="1"/>
        <v>14</v>
      </c>
      <c r="I14" s="104">
        <f>236600+164000</f>
        <v>400600</v>
      </c>
      <c r="J14" s="115"/>
      <c r="K14" s="104">
        <v>-17000</v>
      </c>
      <c r="L14" s="3">
        <v>381300</v>
      </c>
      <c r="M14" s="17">
        <v>372000</v>
      </c>
      <c r="N14" s="17">
        <v>371420</v>
      </c>
      <c r="O14" s="17">
        <f t="shared" si="0"/>
        <v>-580</v>
      </c>
    </row>
    <row r="15" spans="1:15" ht="12.75">
      <c r="A15" s="14" t="s">
        <v>17</v>
      </c>
      <c r="B15" s="104">
        <v>261000</v>
      </c>
      <c r="C15" s="115">
        <f>85000+52100+38000+148100-261000</f>
        <v>62200</v>
      </c>
      <c r="D15" s="115">
        <f>-17000+5000-7500-8300</f>
        <v>-27800</v>
      </c>
      <c r="E15" s="3">
        <f>2900+127400+36400+163000</f>
        <v>329700</v>
      </c>
      <c r="F15" s="3">
        <f>500+120200+35000+195000</f>
        <v>350700</v>
      </c>
      <c r="G15" s="3">
        <f>964+123424+35007+191965</f>
        <v>351360</v>
      </c>
      <c r="H15" s="3">
        <f t="shared" si="1"/>
        <v>660</v>
      </c>
      <c r="I15" s="104">
        <f>47000</f>
        <v>47000</v>
      </c>
      <c r="J15" s="115"/>
      <c r="K15" s="104">
        <v>-10500</v>
      </c>
      <c r="L15" s="3">
        <v>12500</v>
      </c>
      <c r="M15" s="17">
        <v>2000</v>
      </c>
      <c r="N15" s="17">
        <v>2208</v>
      </c>
      <c r="O15" s="17">
        <f t="shared" si="0"/>
        <v>208</v>
      </c>
    </row>
    <row r="16" spans="1:15" ht="12.75">
      <c r="A16" s="14" t="s">
        <v>18</v>
      </c>
      <c r="B16" s="104">
        <v>2573300</v>
      </c>
      <c r="C16" s="115">
        <f>2643100-2573300</f>
        <v>69800</v>
      </c>
      <c r="D16" s="115">
        <v>50500</v>
      </c>
      <c r="E16" s="3">
        <v>3589700</v>
      </c>
      <c r="F16" s="3">
        <v>3607500</v>
      </c>
      <c r="G16" s="3">
        <v>3607163</v>
      </c>
      <c r="H16" s="3">
        <f t="shared" si="1"/>
        <v>-337</v>
      </c>
      <c r="I16" s="104">
        <v>0</v>
      </c>
      <c r="J16" s="115"/>
      <c r="K16" s="104">
        <v>0</v>
      </c>
      <c r="L16" s="3">
        <v>13100</v>
      </c>
      <c r="M16" s="17">
        <v>12900</v>
      </c>
      <c r="N16" s="17">
        <v>12915</v>
      </c>
      <c r="O16" s="17">
        <f t="shared" si="0"/>
        <v>15</v>
      </c>
    </row>
    <row r="17" spans="1:15" ht="12.75">
      <c r="A17" s="14" t="s">
        <v>73</v>
      </c>
      <c r="B17" s="104">
        <v>-600</v>
      </c>
      <c r="C17" s="115"/>
      <c r="D17" s="115"/>
      <c r="E17" s="3">
        <v>-38300</v>
      </c>
      <c r="F17" s="3">
        <v>-83500</v>
      </c>
      <c r="G17" s="3">
        <v>-85376</v>
      </c>
      <c r="H17" s="3">
        <f t="shared" si="1"/>
        <v>-1876</v>
      </c>
      <c r="I17" s="104">
        <v>-2900</v>
      </c>
      <c r="J17" s="115"/>
      <c r="K17" s="104">
        <v>0</v>
      </c>
      <c r="L17" s="3">
        <v>-3100</v>
      </c>
      <c r="M17" s="17">
        <v>-3000</v>
      </c>
      <c r="N17" s="17">
        <v>-2979</v>
      </c>
      <c r="O17" s="17">
        <f t="shared" si="0"/>
        <v>21</v>
      </c>
    </row>
    <row r="18" spans="1:15" ht="12.75">
      <c r="A18" s="134" t="s">
        <v>14</v>
      </c>
      <c r="B18" s="104"/>
      <c r="C18" s="115"/>
      <c r="D18" s="115"/>
      <c r="E18" s="3">
        <f>288400+96100</f>
        <v>384500</v>
      </c>
      <c r="F18" s="3">
        <f>313800+96100</f>
        <v>409900</v>
      </c>
      <c r="G18" s="3">
        <f>313757+96100</f>
        <v>409857</v>
      </c>
      <c r="H18" s="3"/>
      <c r="I18" s="104"/>
      <c r="J18" s="115"/>
      <c r="K18" s="104"/>
      <c r="L18" s="3">
        <v>81900</v>
      </c>
      <c r="M18" s="17">
        <v>81900</v>
      </c>
      <c r="N18" s="17">
        <v>81550</v>
      </c>
      <c r="O18" s="17">
        <f t="shared" si="0"/>
        <v>-350</v>
      </c>
    </row>
    <row r="19" spans="1:15" ht="12.75">
      <c r="A19" s="14" t="s">
        <v>19</v>
      </c>
      <c r="B19" s="104">
        <v>-86300</v>
      </c>
      <c r="C19" s="115"/>
      <c r="D19" s="115"/>
      <c r="E19" s="3">
        <v>-61800</v>
      </c>
      <c r="F19" s="3">
        <v>-61800</v>
      </c>
      <c r="G19" s="3">
        <v>-61800</v>
      </c>
      <c r="H19" s="3">
        <f t="shared" si="1"/>
        <v>0</v>
      </c>
      <c r="I19" s="104">
        <v>-9500</v>
      </c>
      <c r="J19" s="115"/>
      <c r="K19" s="104">
        <v>0</v>
      </c>
      <c r="L19" s="3">
        <v>-6500</v>
      </c>
      <c r="M19" s="17">
        <v>-6500</v>
      </c>
      <c r="N19" s="17">
        <v>-6500</v>
      </c>
      <c r="O19" s="17">
        <f t="shared" si="0"/>
        <v>0</v>
      </c>
    </row>
    <row r="20" spans="1:15" ht="12.75">
      <c r="A20" s="134" t="s">
        <v>91</v>
      </c>
      <c r="B20" s="104"/>
      <c r="C20" s="115"/>
      <c r="D20" s="115"/>
      <c r="E20" s="3">
        <v>-81000</v>
      </c>
      <c r="F20" s="3">
        <v>-81000</v>
      </c>
      <c r="G20" s="3">
        <v>-91999</v>
      </c>
      <c r="H20" s="3">
        <f t="shared" si="1"/>
        <v>-10999</v>
      </c>
      <c r="I20" s="104"/>
      <c r="J20" s="115"/>
      <c r="K20" s="104"/>
      <c r="L20" s="3">
        <v>0</v>
      </c>
      <c r="M20" s="17">
        <v>0</v>
      </c>
      <c r="N20" s="17">
        <v>0</v>
      </c>
      <c r="O20" s="17">
        <f t="shared" si="0"/>
        <v>0</v>
      </c>
    </row>
    <row r="21" spans="1:15" ht="15">
      <c r="A21" s="14" t="s">
        <v>76</v>
      </c>
      <c r="B21" s="105">
        <v>0</v>
      </c>
      <c r="C21" s="105">
        <v>0</v>
      </c>
      <c r="D21" s="105">
        <v>0</v>
      </c>
      <c r="E21" s="4">
        <f>+B21+C21</f>
        <v>0</v>
      </c>
      <c r="F21" s="4">
        <v>0</v>
      </c>
      <c r="G21" s="4">
        <v>0</v>
      </c>
      <c r="H21" s="4">
        <v>0</v>
      </c>
      <c r="I21" s="105">
        <v>-15300</v>
      </c>
      <c r="J21" s="105">
        <v>0</v>
      </c>
      <c r="K21" s="105">
        <v>-5500</v>
      </c>
      <c r="L21" s="4">
        <v>-15300</v>
      </c>
      <c r="M21" s="18">
        <v>-15300</v>
      </c>
      <c r="N21" s="18">
        <v>-15000</v>
      </c>
      <c r="O21" s="18">
        <f t="shared" si="0"/>
        <v>300</v>
      </c>
    </row>
    <row r="22" spans="1:15" ht="13.5" customHeight="1">
      <c r="A22" s="33" t="s">
        <v>20</v>
      </c>
      <c r="B22" s="114">
        <f>SUM(B12:B21)</f>
        <v>14577000</v>
      </c>
      <c r="C22" s="114">
        <f>SUM(C12:C21)</f>
        <v>1356700</v>
      </c>
      <c r="D22" s="114">
        <f>SUM(D12:D21)</f>
        <v>11000</v>
      </c>
      <c r="E22" s="18">
        <f aca="true" t="shared" si="2" ref="E22:O22">SUM(E12:E21)</f>
        <v>18788600</v>
      </c>
      <c r="F22" s="18">
        <f t="shared" si="2"/>
        <v>18594200</v>
      </c>
      <c r="G22" s="18">
        <f t="shared" si="2"/>
        <v>18561633</v>
      </c>
      <c r="H22" s="18">
        <f t="shared" si="2"/>
        <v>-32524</v>
      </c>
      <c r="I22" s="114">
        <f>SUM(I12:I21)</f>
        <v>1126900</v>
      </c>
      <c r="J22" s="114">
        <f>SUM(J12:J21)</f>
        <v>0</v>
      </c>
      <c r="K22" s="114">
        <f>SUM(K12:K21)</f>
        <v>-53600</v>
      </c>
      <c r="L22" s="18">
        <f t="shared" si="2"/>
        <v>1262500</v>
      </c>
      <c r="M22" s="18">
        <f t="shared" si="2"/>
        <v>1232300</v>
      </c>
      <c r="N22" s="18">
        <f t="shared" si="2"/>
        <v>1232920</v>
      </c>
      <c r="O22" s="18">
        <f t="shared" si="2"/>
        <v>620</v>
      </c>
    </row>
    <row r="23" spans="1:15" ht="12" customHeight="1">
      <c r="A23" s="36" t="s">
        <v>21</v>
      </c>
      <c r="B23" s="100"/>
      <c r="C23" s="116">
        <f>+C22+B22-16315600</f>
        <v>-381900</v>
      </c>
      <c r="D23" s="116">
        <f>+D22+C22+B22</f>
        <v>15944700</v>
      </c>
      <c r="E23" s="32"/>
      <c r="F23" s="10"/>
      <c r="G23" s="10"/>
      <c r="H23" s="10"/>
      <c r="I23" s="100"/>
      <c r="J23" s="116">
        <f>+J22+I22-1126900</f>
        <v>0</v>
      </c>
      <c r="K23" s="116">
        <f>+K22+J22+I22</f>
        <v>1073300</v>
      </c>
      <c r="L23" s="10"/>
      <c r="M23" s="27"/>
      <c r="N23" s="20"/>
      <c r="O23" s="20"/>
    </row>
    <row r="24" spans="1:15" ht="12" customHeight="1">
      <c r="A24" s="33" t="s">
        <v>12</v>
      </c>
      <c r="B24" s="103" t="s">
        <v>78</v>
      </c>
      <c r="C24" s="103" t="s">
        <v>77</v>
      </c>
      <c r="D24" s="103" t="s">
        <v>79</v>
      </c>
      <c r="E24" s="36"/>
      <c r="F24" s="10"/>
      <c r="G24" s="10"/>
      <c r="H24" s="10"/>
      <c r="I24" s="103" t="s">
        <v>78</v>
      </c>
      <c r="J24" s="103" t="s">
        <v>77</v>
      </c>
      <c r="K24" s="103" t="s">
        <v>79</v>
      </c>
      <c r="L24" s="10"/>
      <c r="M24" s="20"/>
      <c r="N24" s="20"/>
      <c r="O24" s="20"/>
    </row>
    <row r="25" spans="1:15" ht="12" customHeight="1">
      <c r="A25" s="14" t="s">
        <v>22</v>
      </c>
      <c r="B25" s="104">
        <f>76119</f>
        <v>76119</v>
      </c>
      <c r="C25" s="104">
        <v>3437</v>
      </c>
      <c r="D25" s="104">
        <v>176</v>
      </c>
      <c r="E25" s="3">
        <v>80446</v>
      </c>
      <c r="F25" s="3">
        <v>80610</v>
      </c>
      <c r="G25" s="3">
        <v>67344</v>
      </c>
      <c r="H25" s="80">
        <f>F25-G25</f>
        <v>13266</v>
      </c>
      <c r="I25" s="104"/>
      <c r="J25" s="104"/>
      <c r="K25" s="104"/>
      <c r="L25" s="3">
        <v>0</v>
      </c>
      <c r="M25" s="17">
        <v>0</v>
      </c>
      <c r="N25" s="6">
        <v>0</v>
      </c>
      <c r="O25" s="28">
        <f>M25-N25</f>
        <v>0</v>
      </c>
    </row>
    <row r="26" spans="1:15" ht="12" customHeight="1">
      <c r="A26" s="14" t="s">
        <v>23</v>
      </c>
      <c r="B26" s="104">
        <f>566712</f>
        <v>566712</v>
      </c>
      <c r="C26" s="104">
        <v>145818</v>
      </c>
      <c r="D26" s="104">
        <v>-31758</v>
      </c>
      <c r="E26" s="3">
        <v>661517</v>
      </c>
      <c r="F26" s="3">
        <v>662642</v>
      </c>
      <c r="G26" s="3">
        <v>609239</v>
      </c>
      <c r="H26" s="80">
        <f aca="true" t="shared" si="3" ref="H26:H35">F26-G26</f>
        <v>53403</v>
      </c>
      <c r="I26" s="104">
        <v>2375</v>
      </c>
      <c r="J26" s="104"/>
      <c r="K26" s="104"/>
      <c r="L26" s="3">
        <v>7157</v>
      </c>
      <c r="M26" s="17">
        <v>7157</v>
      </c>
      <c r="N26" s="6">
        <v>5396</v>
      </c>
      <c r="O26" s="28">
        <f aca="true" t="shared" si="4" ref="O26:O32">M26-N26</f>
        <v>1761</v>
      </c>
    </row>
    <row r="27" spans="1:15" ht="12" customHeight="1">
      <c r="A27" s="14" t="s">
        <v>24</v>
      </c>
      <c r="B27" s="104">
        <f>277878</f>
        <v>277878</v>
      </c>
      <c r="C27" s="104">
        <v>15241</v>
      </c>
      <c r="D27" s="104">
        <v>5704</v>
      </c>
      <c r="E27" s="3">
        <v>284489</v>
      </c>
      <c r="F27" s="3">
        <v>287908</v>
      </c>
      <c r="G27" s="3">
        <v>262898</v>
      </c>
      <c r="H27" s="80">
        <f t="shared" si="3"/>
        <v>25010</v>
      </c>
      <c r="I27" s="104">
        <v>61396</v>
      </c>
      <c r="J27" s="104"/>
      <c r="K27" s="104">
        <f>-2985+303+15</f>
        <v>-2667</v>
      </c>
      <c r="L27" s="3">
        <v>69965</v>
      </c>
      <c r="M27" s="17">
        <v>69965</v>
      </c>
      <c r="N27" s="6">
        <v>54028</v>
      </c>
      <c r="O27" s="28">
        <f t="shared" si="4"/>
        <v>15937</v>
      </c>
    </row>
    <row r="28" spans="1:15" ht="12" customHeight="1">
      <c r="A28" s="14" t="s">
        <v>25</v>
      </c>
      <c r="B28" s="104">
        <f>106590</f>
        <v>106590</v>
      </c>
      <c r="C28" s="104">
        <v>40121</v>
      </c>
      <c r="D28" s="104">
        <v>4951</v>
      </c>
      <c r="E28" s="3">
        <v>152430</v>
      </c>
      <c r="F28" s="3">
        <v>152810</v>
      </c>
      <c r="G28" s="3">
        <v>137294</v>
      </c>
      <c r="H28" s="80">
        <f t="shared" si="3"/>
        <v>15516</v>
      </c>
      <c r="I28" s="104"/>
      <c r="J28" s="104"/>
      <c r="K28" s="104"/>
      <c r="L28" s="3">
        <v>0</v>
      </c>
      <c r="M28" s="17">
        <v>0</v>
      </c>
      <c r="N28" s="6">
        <v>0</v>
      </c>
      <c r="O28" s="28">
        <f t="shared" si="4"/>
        <v>0</v>
      </c>
    </row>
    <row r="29" spans="1:15" ht="12" customHeight="1">
      <c r="A29" s="14" t="s">
        <v>26</v>
      </c>
      <c r="B29" s="104">
        <f>1589697</f>
        <v>1589697</v>
      </c>
      <c r="C29" s="104">
        <v>12881</v>
      </c>
      <c r="D29" s="104">
        <v>29187</v>
      </c>
      <c r="E29" s="3">
        <v>1896260</v>
      </c>
      <c r="F29" s="3">
        <v>1853068</v>
      </c>
      <c r="G29" s="3">
        <v>1792435</v>
      </c>
      <c r="H29" s="80">
        <f t="shared" si="3"/>
        <v>60633</v>
      </c>
      <c r="I29" s="104"/>
      <c r="J29" s="104"/>
      <c r="K29" s="104"/>
      <c r="L29" s="3">
        <v>0</v>
      </c>
      <c r="M29" s="17">
        <v>0</v>
      </c>
      <c r="N29" s="17">
        <v>0</v>
      </c>
      <c r="O29" s="28">
        <f t="shared" si="4"/>
        <v>0</v>
      </c>
    </row>
    <row r="30" spans="1:15" ht="12" customHeight="1">
      <c r="A30" s="14" t="s">
        <v>27</v>
      </c>
      <c r="B30" s="104"/>
      <c r="C30" s="104">
        <v>30081</v>
      </c>
      <c r="D30" s="104">
        <v>-14100</v>
      </c>
      <c r="E30" s="3">
        <v>609</v>
      </c>
      <c r="F30" s="3">
        <v>609</v>
      </c>
      <c r="G30" s="3">
        <v>0</v>
      </c>
      <c r="H30" s="80">
        <f t="shared" si="3"/>
        <v>609</v>
      </c>
      <c r="I30" s="104">
        <v>481114</v>
      </c>
      <c r="J30" s="104"/>
      <c r="K30" s="104">
        <v>16777</v>
      </c>
      <c r="L30" s="3">
        <v>613147</v>
      </c>
      <c r="M30" s="17">
        <v>613147</v>
      </c>
      <c r="N30" s="6">
        <v>551211</v>
      </c>
      <c r="O30" s="28">
        <f t="shared" si="4"/>
        <v>61936</v>
      </c>
    </row>
    <row r="31" spans="1:15" ht="12" customHeight="1">
      <c r="A31" s="14" t="s">
        <v>28</v>
      </c>
      <c r="B31" s="104">
        <f>4704754</f>
        <v>4704754</v>
      </c>
      <c r="C31" s="104">
        <v>77290</v>
      </c>
      <c r="D31" s="104">
        <v>377</v>
      </c>
      <c r="E31" s="3">
        <v>5842672</v>
      </c>
      <c r="F31" s="3">
        <v>5938497</v>
      </c>
      <c r="G31" s="3">
        <v>5817369</v>
      </c>
      <c r="H31" s="80">
        <f t="shared" si="3"/>
        <v>121128</v>
      </c>
      <c r="I31" s="104"/>
      <c r="J31" s="104"/>
      <c r="K31" s="104"/>
      <c r="L31" s="3">
        <v>131</v>
      </c>
      <c r="M31" s="17">
        <v>140</v>
      </c>
      <c r="N31" s="6">
        <v>139</v>
      </c>
      <c r="O31" s="28">
        <f t="shared" si="4"/>
        <v>1</v>
      </c>
    </row>
    <row r="32" spans="1:15" ht="12" customHeight="1">
      <c r="A32" s="14" t="s">
        <v>29</v>
      </c>
      <c r="B32" s="104">
        <f>3736051</f>
        <v>3736051</v>
      </c>
      <c r="C32" s="104">
        <v>329599</v>
      </c>
      <c r="D32" s="104">
        <v>24468</v>
      </c>
      <c r="E32" s="3">
        <v>4329820</v>
      </c>
      <c r="F32" s="3">
        <v>4333551</v>
      </c>
      <c r="G32" s="3">
        <v>4235428</v>
      </c>
      <c r="H32" s="80">
        <f t="shared" si="3"/>
        <v>98123</v>
      </c>
      <c r="I32" s="104"/>
      <c r="J32" s="104"/>
      <c r="K32" s="104"/>
      <c r="L32" s="3">
        <v>0</v>
      </c>
      <c r="M32" s="17">
        <v>0</v>
      </c>
      <c r="N32" s="17">
        <v>0</v>
      </c>
      <c r="O32" s="28">
        <f t="shared" si="4"/>
        <v>0</v>
      </c>
    </row>
    <row r="33" spans="1:15" ht="12" customHeight="1">
      <c r="A33" s="14" t="s">
        <v>30</v>
      </c>
      <c r="B33" s="104">
        <f>1545512</f>
        <v>1545512</v>
      </c>
      <c r="C33" s="104">
        <v>14534</v>
      </c>
      <c r="D33" s="104">
        <v>15514</v>
      </c>
      <c r="E33" s="3">
        <v>1576670</v>
      </c>
      <c r="F33" s="3">
        <v>1545640</v>
      </c>
      <c r="G33" s="3">
        <v>1472685</v>
      </c>
      <c r="H33" s="80">
        <f t="shared" si="3"/>
        <v>72955</v>
      </c>
      <c r="I33" s="104"/>
      <c r="J33" s="104"/>
      <c r="K33" s="104"/>
      <c r="L33" s="3">
        <v>0</v>
      </c>
      <c r="M33" s="17">
        <v>0</v>
      </c>
      <c r="N33" s="17">
        <v>0</v>
      </c>
      <c r="O33" s="28">
        <f>M33-N33</f>
        <v>0</v>
      </c>
    </row>
    <row r="34" spans="1:15" ht="12" customHeight="1">
      <c r="A34" s="14" t="s">
        <v>31</v>
      </c>
      <c r="B34" s="104">
        <f>517641</f>
        <v>517641</v>
      </c>
      <c r="C34" s="104">
        <v>650</v>
      </c>
      <c r="D34" s="104">
        <v>6281</v>
      </c>
      <c r="E34" s="3">
        <v>576941</v>
      </c>
      <c r="F34" s="3">
        <v>579284</v>
      </c>
      <c r="G34" s="3">
        <v>545650</v>
      </c>
      <c r="H34" s="80">
        <f t="shared" si="3"/>
        <v>33634</v>
      </c>
      <c r="I34" s="104"/>
      <c r="J34" s="104"/>
      <c r="K34" s="104"/>
      <c r="L34" s="3">
        <v>0</v>
      </c>
      <c r="M34" s="17">
        <v>0</v>
      </c>
      <c r="N34" s="17">
        <v>0</v>
      </c>
      <c r="O34" s="28">
        <f>M34-N34</f>
        <v>0</v>
      </c>
    </row>
    <row r="35" spans="1:15" ht="13.5" customHeight="1">
      <c r="A35" s="14" t="s">
        <v>32</v>
      </c>
      <c r="B35" s="105">
        <f>3310398</f>
        <v>3310398</v>
      </c>
      <c r="C35" s="105">
        <v>161419</v>
      </c>
      <c r="D35" s="105">
        <v>-24236</v>
      </c>
      <c r="E35" s="4">
        <v>4284777</v>
      </c>
      <c r="F35" s="4">
        <v>4258046</v>
      </c>
      <c r="G35" s="4">
        <v>3841292</v>
      </c>
      <c r="H35" s="89">
        <f t="shared" si="3"/>
        <v>416754</v>
      </c>
      <c r="I35" s="105">
        <f>564950</f>
        <v>564950</v>
      </c>
      <c r="J35" s="105">
        <v>0</v>
      </c>
      <c r="K35" s="105">
        <v>0</v>
      </c>
      <c r="L35" s="4">
        <v>665622</v>
      </c>
      <c r="M35" s="4">
        <v>665613</v>
      </c>
      <c r="N35" s="4">
        <v>582634</v>
      </c>
      <c r="O35" s="4">
        <f>M35-N35</f>
        <v>82979</v>
      </c>
    </row>
    <row r="36" spans="1:15" ht="12" customHeight="1">
      <c r="A36" s="33" t="s">
        <v>33</v>
      </c>
      <c r="B36" s="106">
        <f aca="true" t="shared" si="5" ref="B36:K36">SUM(B25:B35)</f>
        <v>16431352</v>
      </c>
      <c r="C36" s="106">
        <f t="shared" si="5"/>
        <v>831071</v>
      </c>
      <c r="D36" s="106">
        <f t="shared" si="5"/>
        <v>16564</v>
      </c>
      <c r="E36" s="17">
        <f t="shared" si="5"/>
        <v>19686631</v>
      </c>
      <c r="F36" s="17">
        <f t="shared" si="5"/>
        <v>19692665</v>
      </c>
      <c r="G36" s="17">
        <f t="shared" si="5"/>
        <v>18781634</v>
      </c>
      <c r="H36" s="17">
        <f t="shared" si="5"/>
        <v>911031</v>
      </c>
      <c r="I36" s="106">
        <f t="shared" si="5"/>
        <v>1109835</v>
      </c>
      <c r="J36" s="106">
        <f t="shared" si="5"/>
        <v>0</v>
      </c>
      <c r="K36" s="106">
        <f t="shared" si="5"/>
        <v>14110</v>
      </c>
      <c r="L36" s="17">
        <f>SUM(L26:L35)</f>
        <v>1356022</v>
      </c>
      <c r="M36" s="17">
        <f>SUM(M26:M35)</f>
        <v>1356022</v>
      </c>
      <c r="N36" s="17">
        <f>SUM(N26:N35)</f>
        <v>1193408</v>
      </c>
      <c r="O36" s="17">
        <f>SUM(O26:O35)</f>
        <v>162614</v>
      </c>
    </row>
    <row r="37" spans="1:15" ht="15">
      <c r="A37" s="14" t="s">
        <v>40</v>
      </c>
      <c r="B37" s="102"/>
      <c r="C37" s="102"/>
      <c r="D37" s="102"/>
      <c r="E37" s="18">
        <v>777912</v>
      </c>
      <c r="F37" s="18">
        <v>771121</v>
      </c>
      <c r="G37" s="18">
        <v>0</v>
      </c>
      <c r="H37" s="18">
        <f>G37-F37</f>
        <v>-771121</v>
      </c>
      <c r="I37" s="104">
        <v>11000</v>
      </c>
      <c r="J37" s="104">
        <v>0</v>
      </c>
      <c r="K37" s="104">
        <v>0</v>
      </c>
      <c r="L37" s="4">
        <v>53536</v>
      </c>
      <c r="M37" s="29">
        <v>120995</v>
      </c>
      <c r="N37" s="29">
        <v>0</v>
      </c>
      <c r="O37" s="4">
        <f>N37-M37</f>
        <v>-120995</v>
      </c>
    </row>
    <row r="38" spans="1:15" ht="12" customHeight="1">
      <c r="A38" s="33" t="s">
        <v>41</v>
      </c>
      <c r="B38" s="101"/>
      <c r="C38" s="107"/>
      <c r="D38" s="107"/>
      <c r="E38" s="10"/>
      <c r="F38" s="10"/>
      <c r="G38" s="10"/>
      <c r="H38" s="17"/>
      <c r="I38" s="106"/>
      <c r="J38" s="106"/>
      <c r="K38" s="106"/>
      <c r="L38" s="10"/>
      <c r="M38" s="1">
        <v>0</v>
      </c>
      <c r="N38" s="1"/>
      <c r="O38" s="1"/>
    </row>
    <row r="39" spans="1:15" s="24" customFormat="1" ht="15">
      <c r="A39" s="33" t="s">
        <v>34</v>
      </c>
      <c r="B39" s="101"/>
      <c r="C39" s="101"/>
      <c r="D39" s="101"/>
      <c r="E39" s="18">
        <f>E22-E36+E37</f>
        <v>-120119</v>
      </c>
      <c r="F39" s="18">
        <f>F22-F36+F37</f>
        <v>-327344</v>
      </c>
      <c r="G39" s="18">
        <f>G22-G36+G37</f>
        <v>-220001</v>
      </c>
      <c r="H39" s="18">
        <f>G39-F39</f>
        <v>107343</v>
      </c>
      <c r="I39" s="114">
        <f aca="true" t="shared" si="6" ref="I39:N39">I22-I36+I37</f>
        <v>28065</v>
      </c>
      <c r="J39" s="114">
        <f t="shared" si="6"/>
        <v>0</v>
      </c>
      <c r="K39" s="114">
        <f t="shared" si="6"/>
        <v>-67710</v>
      </c>
      <c r="L39" s="18">
        <f t="shared" si="6"/>
        <v>-39986</v>
      </c>
      <c r="M39" s="18">
        <f t="shared" si="6"/>
        <v>-2727</v>
      </c>
      <c r="N39" s="18">
        <f t="shared" si="6"/>
        <v>39512</v>
      </c>
      <c r="O39" s="18">
        <f>O22+O36+O37</f>
        <v>42239</v>
      </c>
    </row>
    <row r="40" spans="1:15" ht="12" customHeight="1">
      <c r="A40" s="36" t="s">
        <v>35</v>
      </c>
      <c r="B40" s="100"/>
      <c r="C40" s="100"/>
      <c r="D40" s="100"/>
      <c r="E40" s="3"/>
      <c r="F40" s="3"/>
      <c r="G40" s="3"/>
      <c r="H40" s="3"/>
      <c r="I40" s="104"/>
      <c r="J40" s="104"/>
      <c r="K40" s="104"/>
      <c r="L40" s="3"/>
      <c r="M40" s="1"/>
      <c r="N40" s="1"/>
      <c r="O40" s="1"/>
    </row>
    <row r="41" spans="1:15" ht="12.75">
      <c r="A41" s="14" t="s">
        <v>42</v>
      </c>
      <c r="B41" s="102"/>
      <c r="C41" s="102"/>
      <c r="D41" s="102"/>
      <c r="E41" s="3">
        <v>200985</v>
      </c>
      <c r="F41" s="3">
        <v>200985</v>
      </c>
      <c r="G41" s="3">
        <v>200985</v>
      </c>
      <c r="H41" s="3">
        <f>G41-F41</f>
        <v>0</v>
      </c>
      <c r="I41" s="104">
        <v>0</v>
      </c>
      <c r="J41" s="104">
        <v>0</v>
      </c>
      <c r="K41" s="104">
        <v>0</v>
      </c>
      <c r="L41" s="3">
        <v>40554</v>
      </c>
      <c r="M41" s="17">
        <v>40554</v>
      </c>
      <c r="N41" s="17">
        <v>40554</v>
      </c>
      <c r="O41" s="6">
        <f>N41-M41</f>
        <v>0</v>
      </c>
    </row>
    <row r="42" spans="1:15" ht="12.75">
      <c r="A42" s="14" t="s">
        <v>95</v>
      </c>
      <c r="B42" s="102"/>
      <c r="C42" s="102"/>
      <c r="D42" s="102"/>
      <c r="E42" s="3">
        <v>0</v>
      </c>
      <c r="F42" s="3">
        <v>0</v>
      </c>
      <c r="G42" s="3">
        <v>-130351</v>
      </c>
      <c r="H42" s="3">
        <f>G42-F42</f>
        <v>-130351</v>
      </c>
      <c r="I42" s="104">
        <v>0</v>
      </c>
      <c r="J42" s="104">
        <v>0</v>
      </c>
      <c r="K42" s="104">
        <v>0</v>
      </c>
      <c r="L42" s="3">
        <v>0</v>
      </c>
      <c r="M42" s="17">
        <v>0</v>
      </c>
      <c r="N42" s="17">
        <v>-41615</v>
      </c>
      <c r="O42" s="17">
        <f>N42-M42</f>
        <v>-41615</v>
      </c>
    </row>
    <row r="43" spans="1:15" ht="12.75">
      <c r="A43" s="134" t="s">
        <v>94</v>
      </c>
      <c r="B43" s="102"/>
      <c r="C43" s="102"/>
      <c r="D43" s="102"/>
      <c r="E43" s="3">
        <v>0</v>
      </c>
      <c r="F43" s="3">
        <v>0</v>
      </c>
      <c r="G43" s="3">
        <v>143517</v>
      </c>
      <c r="H43" s="3">
        <f>G43-F43</f>
        <v>143517</v>
      </c>
      <c r="I43" s="104"/>
      <c r="J43" s="104"/>
      <c r="K43" s="104"/>
      <c r="L43" s="3">
        <v>0</v>
      </c>
      <c r="M43" s="17">
        <v>0</v>
      </c>
      <c r="N43" s="17">
        <v>0</v>
      </c>
      <c r="O43" s="17"/>
    </row>
    <row r="44" spans="1:15" ht="15">
      <c r="A44" s="14" t="s">
        <v>43</v>
      </c>
      <c r="B44" s="102"/>
      <c r="C44" s="102"/>
      <c r="D44" s="102"/>
      <c r="E44" s="4">
        <v>0</v>
      </c>
      <c r="F44" s="4">
        <v>5850</v>
      </c>
      <c r="G44" s="4">
        <v>5850</v>
      </c>
      <c r="H44" s="4">
        <f>G44-F44</f>
        <v>0</v>
      </c>
      <c r="I44" s="105">
        <v>0</v>
      </c>
      <c r="J44" s="105">
        <v>0</v>
      </c>
      <c r="K44" s="105">
        <v>0</v>
      </c>
      <c r="L44" s="4">
        <v>0</v>
      </c>
      <c r="M44" s="4">
        <v>0</v>
      </c>
      <c r="N44" s="4">
        <v>0</v>
      </c>
      <c r="O44" s="18">
        <f>N44-M44</f>
        <v>0</v>
      </c>
    </row>
    <row r="45" spans="1:15" ht="13.5" customHeight="1">
      <c r="A45" s="33" t="s">
        <v>36</v>
      </c>
      <c r="B45" s="101"/>
      <c r="C45" s="101"/>
      <c r="D45" s="101"/>
      <c r="E45" s="7">
        <f aca="true" t="shared" si="7" ref="E45:M45">SUM(E41:E44)</f>
        <v>200985</v>
      </c>
      <c r="F45" s="7">
        <f t="shared" si="7"/>
        <v>206835</v>
      </c>
      <c r="G45" s="7">
        <f t="shared" si="7"/>
        <v>220001</v>
      </c>
      <c r="H45" s="7">
        <f t="shared" si="7"/>
        <v>13166</v>
      </c>
      <c r="I45" s="127">
        <f t="shared" si="7"/>
        <v>0</v>
      </c>
      <c r="J45" s="127">
        <f t="shared" si="7"/>
        <v>0</v>
      </c>
      <c r="K45" s="127">
        <f t="shared" si="7"/>
        <v>0</v>
      </c>
      <c r="L45" s="7">
        <f t="shared" si="7"/>
        <v>40554</v>
      </c>
      <c r="M45" s="7">
        <f t="shared" si="7"/>
        <v>40554</v>
      </c>
      <c r="N45" s="7">
        <f>+N41+N42+N44</f>
        <v>-1061</v>
      </c>
      <c r="O45" s="7">
        <f>O41+O42+O44</f>
        <v>-41615</v>
      </c>
    </row>
    <row r="46" spans="1:15" ht="15">
      <c r="A46" s="33" t="s">
        <v>44</v>
      </c>
      <c r="B46" s="101"/>
      <c r="C46" s="101"/>
      <c r="D46" s="101"/>
      <c r="E46" s="41">
        <f aca="true" t="shared" si="8" ref="E46:O46">E39+E45</f>
        <v>80866</v>
      </c>
      <c r="F46" s="41">
        <f t="shared" si="8"/>
        <v>-120509</v>
      </c>
      <c r="G46" s="6">
        <f t="shared" si="8"/>
        <v>0</v>
      </c>
      <c r="H46" s="41">
        <f t="shared" si="8"/>
        <v>120509</v>
      </c>
      <c r="I46" s="128">
        <f t="shared" si="8"/>
        <v>28065</v>
      </c>
      <c r="J46" s="128">
        <f t="shared" si="8"/>
        <v>0</v>
      </c>
      <c r="K46" s="128">
        <f t="shared" si="8"/>
        <v>-67710</v>
      </c>
      <c r="L46" s="41">
        <f t="shared" si="8"/>
        <v>568</v>
      </c>
      <c r="M46" s="41">
        <f t="shared" si="8"/>
        <v>37827</v>
      </c>
      <c r="N46" s="6">
        <f t="shared" si="8"/>
        <v>38451</v>
      </c>
      <c r="O46" s="41">
        <f t="shared" si="8"/>
        <v>624</v>
      </c>
    </row>
    <row r="47" spans="1:15" ht="15">
      <c r="A47" s="33" t="s">
        <v>68</v>
      </c>
      <c r="B47" s="101"/>
      <c r="C47" s="101"/>
      <c r="D47" s="101"/>
      <c r="E47" s="36"/>
      <c r="F47" s="37">
        <v>0</v>
      </c>
      <c r="G47" s="3">
        <v>442141</v>
      </c>
      <c r="H47" s="10"/>
      <c r="I47" s="129">
        <v>0</v>
      </c>
      <c r="J47" s="129">
        <v>0</v>
      </c>
      <c r="K47" s="129">
        <v>0</v>
      </c>
      <c r="L47" s="10"/>
      <c r="M47" s="21"/>
      <c r="N47" s="6">
        <v>147919</v>
      </c>
      <c r="O47" s="21"/>
    </row>
    <row r="48" spans="1:15" ht="13.5" customHeight="1">
      <c r="A48" s="33" t="s">
        <v>37</v>
      </c>
      <c r="B48" s="101"/>
      <c r="C48" s="101"/>
      <c r="D48" s="101"/>
      <c r="E48" s="33"/>
      <c r="F48" s="37">
        <v>0</v>
      </c>
      <c r="G48" s="4">
        <v>-307566</v>
      </c>
      <c r="H48" s="10"/>
      <c r="I48" s="125"/>
      <c r="J48" s="125"/>
      <c r="K48" s="125"/>
      <c r="L48" s="10"/>
      <c r="M48" s="21"/>
      <c r="N48" s="7">
        <v>1061</v>
      </c>
      <c r="O48" s="21"/>
    </row>
    <row r="49" spans="1:15" ht="13.5" customHeight="1">
      <c r="A49" s="33" t="s">
        <v>38</v>
      </c>
      <c r="B49" s="101"/>
      <c r="C49" s="101"/>
      <c r="D49" s="101"/>
      <c r="E49" s="36"/>
      <c r="F49" s="37">
        <v>0</v>
      </c>
      <c r="G49" s="41">
        <f>G46+G47+G48</f>
        <v>134575</v>
      </c>
      <c r="H49" s="10"/>
      <c r="I49" s="125"/>
      <c r="J49" s="125"/>
      <c r="K49" s="125"/>
      <c r="L49" s="10"/>
      <c r="M49" s="22"/>
      <c r="N49" s="41">
        <f>SUM(N46:N48)</f>
        <v>187431</v>
      </c>
      <c r="O49" s="22"/>
    </row>
    <row r="50" spans="1:15" ht="12" customHeight="1">
      <c r="A50" s="33"/>
      <c r="B50" s="101"/>
      <c r="C50" s="101"/>
      <c r="D50" s="101"/>
      <c r="E50" s="36"/>
      <c r="F50" s="37"/>
      <c r="G50" s="41"/>
      <c r="H50" s="10"/>
      <c r="I50" s="125"/>
      <c r="J50" s="125"/>
      <c r="K50" s="125"/>
      <c r="L50" s="10"/>
      <c r="M50" s="22"/>
      <c r="N50" s="41"/>
      <c r="O50" s="22"/>
    </row>
    <row r="51" spans="1:15" ht="12" customHeight="1">
      <c r="A51" s="33"/>
      <c r="B51" s="101"/>
      <c r="C51" s="101"/>
      <c r="D51" s="101"/>
      <c r="E51" s="36"/>
      <c r="F51" s="37"/>
      <c r="G51" s="41"/>
      <c r="H51" s="10"/>
      <c r="I51" s="125"/>
      <c r="J51" s="125"/>
      <c r="K51" s="125"/>
      <c r="L51" s="10"/>
      <c r="M51" s="22"/>
      <c r="N51" s="41"/>
      <c r="O51" s="22"/>
    </row>
    <row r="52" spans="1:15" ht="15">
      <c r="A52" s="33"/>
      <c r="B52" s="101"/>
      <c r="C52" s="101"/>
      <c r="D52" s="101"/>
      <c r="E52" s="36"/>
      <c r="F52" s="37"/>
      <c r="G52" s="41"/>
      <c r="H52" s="10"/>
      <c r="I52" s="125"/>
      <c r="J52" s="125"/>
      <c r="K52" s="125"/>
      <c r="L52" s="10"/>
      <c r="M52" s="22"/>
      <c r="N52" s="41"/>
      <c r="O52" s="22"/>
    </row>
    <row r="53" spans="1:15" ht="15">
      <c r="A53" s="43" t="s">
        <v>39</v>
      </c>
      <c r="B53" s="101"/>
      <c r="C53" s="101"/>
      <c r="D53" s="101"/>
      <c r="E53" s="36"/>
      <c r="F53" s="37"/>
      <c r="G53" s="41"/>
      <c r="H53" s="10"/>
      <c r="I53" s="125"/>
      <c r="J53" s="125"/>
      <c r="K53" s="125"/>
      <c r="L53" s="10"/>
      <c r="M53" s="22"/>
      <c r="N53" s="41"/>
      <c r="O53" s="22"/>
    </row>
    <row r="54" spans="1:15" ht="12.75" customHeight="1">
      <c r="A54" s="33"/>
      <c r="B54" s="101"/>
      <c r="C54" s="101"/>
      <c r="D54" s="101"/>
      <c r="E54" s="36"/>
      <c r="F54" s="37"/>
      <c r="G54" s="41"/>
      <c r="H54" s="10"/>
      <c r="I54" s="125"/>
      <c r="J54" s="125"/>
      <c r="K54" s="125"/>
      <c r="L54" s="10"/>
      <c r="M54" s="22"/>
      <c r="N54" s="41"/>
      <c r="O54" s="22"/>
    </row>
    <row r="55" spans="2:15" ht="18" customHeight="1">
      <c r="B55" s="108"/>
      <c r="C55" s="108"/>
      <c r="D55" s="108"/>
      <c r="E55" s="36"/>
      <c r="F55" s="37"/>
      <c r="G55" s="41"/>
      <c r="H55" s="10"/>
      <c r="I55" s="125"/>
      <c r="J55" s="125"/>
      <c r="K55" s="125"/>
      <c r="L55" s="10"/>
      <c r="M55" s="22"/>
      <c r="N55" s="41"/>
      <c r="O55" s="22"/>
    </row>
    <row r="56" spans="1:15" ht="18" customHeight="1">
      <c r="A56" s="33"/>
      <c r="B56" s="101"/>
      <c r="C56" s="101"/>
      <c r="D56" s="101"/>
      <c r="E56" s="36"/>
      <c r="F56" s="37"/>
      <c r="G56" s="41"/>
      <c r="H56" s="10"/>
      <c r="I56" s="125"/>
      <c r="J56" s="125"/>
      <c r="K56" s="125"/>
      <c r="L56" s="10"/>
      <c r="M56" s="22"/>
      <c r="N56" s="41"/>
      <c r="O56" s="22"/>
    </row>
    <row r="57" spans="5:15" ht="18.75" customHeight="1">
      <c r="E57" s="36"/>
      <c r="F57" s="37"/>
      <c r="G57" s="41"/>
      <c r="H57" s="10"/>
      <c r="I57" s="125"/>
      <c r="J57" s="125"/>
      <c r="K57" s="125"/>
      <c r="L57" s="10"/>
      <c r="M57" s="22"/>
      <c r="N57" s="41"/>
      <c r="O57" s="22"/>
    </row>
    <row r="58" spans="5:15" ht="15">
      <c r="E58" s="36"/>
      <c r="F58" s="37"/>
      <c r="G58" s="41"/>
      <c r="H58" s="10"/>
      <c r="I58" s="125"/>
      <c r="J58" s="125"/>
      <c r="K58" s="125"/>
      <c r="L58" s="10"/>
      <c r="M58" s="22"/>
      <c r="N58" s="41"/>
      <c r="O58" s="22"/>
    </row>
    <row r="59" spans="1:15" ht="12" customHeight="1">
      <c r="A59" s="33"/>
      <c r="B59" s="101"/>
      <c r="C59" s="101"/>
      <c r="D59" s="101"/>
      <c r="E59" s="36"/>
      <c r="F59" s="37"/>
      <c r="G59" s="41"/>
      <c r="H59" s="10"/>
      <c r="I59" s="125"/>
      <c r="J59" s="125"/>
      <c r="K59" s="125"/>
      <c r="L59" s="10"/>
      <c r="M59" s="22"/>
      <c r="N59" s="41"/>
      <c r="O59" s="22"/>
    </row>
    <row r="60" spans="5:15" ht="15" customHeight="1">
      <c r="E60" s="31"/>
      <c r="F60" s="25"/>
      <c r="G60" s="26"/>
      <c r="H60" s="10"/>
      <c r="I60" s="125"/>
      <c r="J60" s="125"/>
      <c r="K60" s="125"/>
      <c r="L60" s="10"/>
      <c r="M60" s="22"/>
      <c r="N60" s="26"/>
      <c r="O60" s="22"/>
    </row>
    <row r="61" spans="5:15" ht="12.75" customHeight="1">
      <c r="E61" s="36"/>
      <c r="F61" s="23"/>
      <c r="G61" s="23"/>
      <c r="H61" s="23"/>
      <c r="I61" s="126"/>
      <c r="J61" s="126"/>
      <c r="K61" s="126"/>
      <c r="L61" s="23"/>
      <c r="M61" s="23"/>
      <c r="N61" s="23"/>
      <c r="O61" s="23"/>
    </row>
    <row r="62" spans="1:15" ht="15">
      <c r="A62" s="19"/>
      <c r="B62" s="110"/>
      <c r="C62" s="110"/>
      <c r="D62" s="110"/>
      <c r="E62" s="19"/>
      <c r="F62" s="10"/>
      <c r="G62" s="10"/>
      <c r="H62" s="10"/>
      <c r="I62" s="125"/>
      <c r="J62" s="125"/>
      <c r="K62" s="125"/>
      <c r="L62" s="10"/>
      <c r="M62" s="22"/>
      <c r="N62" s="5"/>
      <c r="O62" s="22"/>
    </row>
    <row r="63" spans="1:15" ht="12.75">
      <c r="A63" s="13"/>
      <c r="B63" s="111"/>
      <c r="C63" s="111"/>
      <c r="D63" s="111"/>
      <c r="E63" s="13"/>
      <c r="F63" s="10"/>
      <c r="G63" s="10"/>
      <c r="H63" s="10"/>
      <c r="I63" s="125"/>
      <c r="J63" s="125"/>
      <c r="K63" s="125"/>
      <c r="L63" s="10"/>
      <c r="M63" s="23"/>
      <c r="N63" s="23"/>
      <c r="O63" s="23"/>
    </row>
    <row r="64" spans="1:49" ht="12.75">
      <c r="A64" s="13"/>
      <c r="B64" s="111"/>
      <c r="C64" s="111"/>
      <c r="D64" s="111"/>
      <c r="E64" s="13"/>
      <c r="F64" s="23"/>
      <c r="G64" s="23"/>
      <c r="H64" s="23"/>
      <c r="I64" s="126"/>
      <c r="J64" s="126"/>
      <c r="K64" s="126"/>
      <c r="L64" s="23"/>
      <c r="M64" s="23"/>
      <c r="N64" s="23"/>
      <c r="O64" s="2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2"/>
      <c r="B65" s="112"/>
      <c r="C65" s="112"/>
      <c r="D65" s="112"/>
      <c r="E65" s="2"/>
      <c r="F65" s="2"/>
      <c r="G65" s="2"/>
      <c r="H65" s="2"/>
      <c r="I65" s="112"/>
      <c r="J65" s="112"/>
      <c r="K65" s="11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</sheetData>
  <mergeCells count="4">
    <mergeCell ref="E9:F9"/>
    <mergeCell ref="L9:M9"/>
    <mergeCell ref="E6:H6"/>
    <mergeCell ref="L6:O6"/>
  </mergeCells>
  <printOptions/>
  <pageMargins left="0.5" right="0.5" top="0.6" bottom="0.6" header="0.25" footer="0.33"/>
  <pageSetup firstPageNumber="38" useFirstPageNumber="1" fitToWidth="2" fitToHeight="1" horizontalDpi="300" verticalDpi="300" orientation="portrait" scale="98" r:id="rId1"/>
  <headerFooter alignWithMargins="0">
    <oddHeader>&amp;L&amp;"Times New Roman,Italic"&amp;12&amp;U                                                                                                                                                                         &amp;C&amp;"Times New Roman,Bold Italic"&amp;12Connecticut</oddHeader>
    <oddFooter>&amp;C&amp;"Times New Roman,Bold"&amp;P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7"/>
  <sheetViews>
    <sheetView showGridLines="0" workbookViewId="0" topLeftCell="A22">
      <selection activeCell="C40" sqref="C40"/>
    </sheetView>
  </sheetViews>
  <sheetFormatPr defaultColWidth="9.33203125" defaultRowHeight="12.75"/>
  <cols>
    <col min="1" max="1" width="42.83203125" style="0" customWidth="1"/>
    <col min="2" max="2" width="10.83203125" style="0" customWidth="1"/>
    <col min="3" max="3" width="9.66015625" style="0" customWidth="1"/>
    <col min="4" max="4" width="11.16015625" style="0" bestFit="1" customWidth="1"/>
    <col min="5" max="5" width="11.5" style="0" bestFit="1" customWidth="1"/>
    <col min="6" max="6" width="8.83203125" style="0" customWidth="1"/>
    <col min="7" max="7" width="10.83203125" style="0" customWidth="1"/>
    <col min="8" max="8" width="16.33203125" style="0" customWidth="1"/>
    <col min="9" max="9" width="13.83203125" style="0" customWidth="1"/>
    <col min="10" max="10" width="14.83203125" style="0" bestFit="1" customWidth="1"/>
    <col min="11" max="11" width="11.5" style="0" bestFit="1" customWidth="1"/>
    <col min="12" max="12" width="9.66015625" style="0" customWidth="1"/>
    <col min="13" max="13" width="11" style="0" bestFit="1" customWidth="1"/>
    <col min="14" max="14" width="3.33203125" style="0" customWidth="1"/>
    <col min="16" max="16" width="11" style="0" customWidth="1"/>
  </cols>
  <sheetData>
    <row r="1" spans="1:10" ht="18" customHeight="1">
      <c r="A1" s="34" t="s">
        <v>58</v>
      </c>
      <c r="G1" s="91"/>
      <c r="J1" s="93"/>
    </row>
    <row r="2" spans="1:7" ht="18" customHeight="1">
      <c r="A2" s="35" t="s">
        <v>46</v>
      </c>
      <c r="G2" s="130"/>
    </row>
    <row r="3" ht="18" customHeight="1">
      <c r="A3" s="8" t="s">
        <v>0</v>
      </c>
    </row>
    <row r="4" spans="1:46" ht="18" customHeight="1">
      <c r="A4" s="49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ht="15" customHeight="1">
      <c r="A5" s="50" t="s">
        <v>90</v>
      </c>
    </row>
    <row r="6" ht="15" customHeight="1">
      <c r="A6" s="50" t="s">
        <v>1</v>
      </c>
    </row>
    <row r="7" ht="15" customHeight="1">
      <c r="A7" s="50"/>
    </row>
    <row r="8" ht="15" customHeight="1">
      <c r="A8" s="50"/>
    </row>
    <row r="9" ht="15" customHeight="1">
      <c r="A9" s="50"/>
    </row>
    <row r="10" ht="15" customHeight="1">
      <c r="A10" s="50"/>
    </row>
    <row r="11" spans="1:7" ht="15" customHeight="1">
      <c r="A11" s="50"/>
      <c r="F11" s="145"/>
      <c r="G11" s="145"/>
    </row>
    <row r="12" ht="15" customHeight="1">
      <c r="A12" s="50"/>
    </row>
    <row r="13" spans="1:25" ht="13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13.5" customHeight="1">
      <c r="A14" s="60"/>
      <c r="B14" s="144" t="s">
        <v>47</v>
      </c>
      <c r="C14" s="144"/>
      <c r="D14" s="144"/>
      <c r="E14" s="144" t="s">
        <v>48</v>
      </c>
      <c r="F14" s="144"/>
      <c r="G14" s="144"/>
      <c r="H14" s="144" t="s">
        <v>49</v>
      </c>
      <c r="I14" s="144"/>
      <c r="J14" s="144"/>
      <c r="K14" s="144" t="s">
        <v>50</v>
      </c>
      <c r="L14" s="144"/>
      <c r="M14" s="144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5">
      <c r="A15" s="11"/>
      <c r="B15" s="55" t="s">
        <v>6</v>
      </c>
      <c r="C15" s="59"/>
      <c r="D15" s="39"/>
      <c r="E15" s="55" t="s">
        <v>6</v>
      </c>
      <c r="F15" s="59"/>
      <c r="G15" s="39"/>
      <c r="H15" s="55" t="s">
        <v>6</v>
      </c>
      <c r="I15" s="55"/>
      <c r="J15" s="63"/>
      <c r="K15" s="55" t="s">
        <v>6</v>
      </c>
      <c r="L15" s="144"/>
      <c r="M15" s="144"/>
      <c r="N15" s="63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15">
      <c r="A16" s="59"/>
      <c r="B16" s="56" t="s">
        <v>3</v>
      </c>
      <c r="C16" s="56" t="s">
        <v>4</v>
      </c>
      <c r="D16" s="57" t="s">
        <v>55</v>
      </c>
      <c r="E16" s="56" t="s">
        <v>3</v>
      </c>
      <c r="F16" s="56" t="s">
        <v>4</v>
      </c>
      <c r="G16" s="57" t="s">
        <v>55</v>
      </c>
      <c r="H16" s="56" t="s">
        <v>3</v>
      </c>
      <c r="I16" s="56" t="s">
        <v>4</v>
      </c>
      <c r="J16" s="57" t="s">
        <v>55</v>
      </c>
      <c r="K16" s="56" t="s">
        <v>3</v>
      </c>
      <c r="L16" s="56" t="s">
        <v>4</v>
      </c>
      <c r="M16" s="57" t="s">
        <v>55</v>
      </c>
      <c r="N16" s="64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ht="12.75" customHeight="1">
      <c r="A17" s="11" t="s">
        <v>11</v>
      </c>
    </row>
    <row r="18" ht="12.75">
      <c r="A18" t="s">
        <v>12</v>
      </c>
    </row>
    <row r="19" spans="1:25" ht="15">
      <c r="A19" s="88" t="s">
        <v>82</v>
      </c>
      <c r="B19" s="131">
        <v>22300</v>
      </c>
      <c r="C19" s="131">
        <f>38+13+24898</f>
        <v>24949</v>
      </c>
      <c r="D19" s="131">
        <f>C19-B19</f>
        <v>2649</v>
      </c>
      <c r="E19" s="131">
        <v>25900</v>
      </c>
      <c r="F19" s="131">
        <f>31552-700</f>
        <v>30852</v>
      </c>
      <c r="G19" s="131">
        <f>F19-E19</f>
        <v>4952</v>
      </c>
      <c r="H19" s="131">
        <v>26300</v>
      </c>
      <c r="I19" s="131">
        <f>29+8+22223</f>
        <v>22260</v>
      </c>
      <c r="J19" s="131">
        <f>I19-H19</f>
        <v>-4040</v>
      </c>
      <c r="K19" s="131">
        <v>26700</v>
      </c>
      <c r="L19" s="131">
        <f>-476+16+25449-26</f>
        <v>24963</v>
      </c>
      <c r="M19" s="131">
        <f>L19-K19</f>
        <v>-1737</v>
      </c>
      <c r="N19" s="6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38" s="24" customFormat="1" ht="15">
      <c r="A20" s="66" t="s">
        <v>61</v>
      </c>
      <c r="B20" s="70">
        <f aca="true" t="shared" si="0" ref="B20:M20">SUM(B19:B19)</f>
        <v>22300</v>
      </c>
      <c r="C20" s="70">
        <f t="shared" si="0"/>
        <v>24949</v>
      </c>
      <c r="D20" s="70">
        <f t="shared" si="0"/>
        <v>2649</v>
      </c>
      <c r="E20" s="70">
        <f t="shared" si="0"/>
        <v>25900</v>
      </c>
      <c r="F20" s="70">
        <f t="shared" si="0"/>
        <v>30852</v>
      </c>
      <c r="G20" s="70">
        <f t="shared" si="0"/>
        <v>4952</v>
      </c>
      <c r="H20" s="70">
        <f t="shared" si="0"/>
        <v>26300</v>
      </c>
      <c r="I20" s="70">
        <f t="shared" si="0"/>
        <v>22260</v>
      </c>
      <c r="J20" s="70">
        <f t="shared" si="0"/>
        <v>-4040</v>
      </c>
      <c r="K20" s="70">
        <f t="shared" si="0"/>
        <v>26700</v>
      </c>
      <c r="L20" s="70">
        <f t="shared" si="0"/>
        <v>24963</v>
      </c>
      <c r="M20" s="70">
        <f t="shared" si="0"/>
        <v>-1737</v>
      </c>
      <c r="N20" s="5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5">
      <c r="A21" s="65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25" ht="12.75">
      <c r="A22" s="66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2.75">
      <c r="A23" s="72" t="s">
        <v>89</v>
      </c>
      <c r="B23" s="10">
        <v>718</v>
      </c>
      <c r="C23" s="10">
        <v>462</v>
      </c>
      <c r="D23" s="53">
        <f>B23-C23</f>
        <v>256</v>
      </c>
      <c r="E23" s="75">
        <v>0</v>
      </c>
      <c r="F23" s="75">
        <v>0</v>
      </c>
      <c r="G23" s="75">
        <v>0</v>
      </c>
      <c r="H23" s="3">
        <v>0</v>
      </c>
      <c r="I23" s="3">
        <v>0</v>
      </c>
      <c r="J23" s="53">
        <f>H23-I23</f>
        <v>0</v>
      </c>
      <c r="K23" s="53">
        <v>370</v>
      </c>
      <c r="L23" s="53">
        <v>341</v>
      </c>
      <c r="M23" s="53">
        <f aca="true" t="shared" si="1" ref="M23:M28">K23-L23</f>
        <v>29</v>
      </c>
      <c r="N23" s="10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2.75">
      <c r="A24" s="67" t="s">
        <v>62</v>
      </c>
      <c r="B24" s="53">
        <f>685+18812</f>
        <v>19497</v>
      </c>
      <c r="C24" s="53">
        <f>652+16181</f>
        <v>16833</v>
      </c>
      <c r="D24" s="53">
        <f>B24-C24</f>
        <v>2664</v>
      </c>
      <c r="E24" s="53">
        <f>21004+500</f>
        <v>21504</v>
      </c>
      <c r="F24" s="53">
        <f>18450+500</f>
        <v>18950</v>
      </c>
      <c r="G24" s="53">
        <f>E24-F24</f>
        <v>2554</v>
      </c>
      <c r="H24" s="53">
        <v>3034</v>
      </c>
      <c r="I24" s="53">
        <v>2563</v>
      </c>
      <c r="J24" s="53">
        <f>H24-I24</f>
        <v>471</v>
      </c>
      <c r="K24" s="53">
        <v>24281</v>
      </c>
      <c r="L24" s="53">
        <v>22345</v>
      </c>
      <c r="M24" s="53">
        <f t="shared" si="1"/>
        <v>1936</v>
      </c>
      <c r="N24" s="53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2.75">
      <c r="A25" s="88" t="s">
        <v>63</v>
      </c>
      <c r="B25" s="53">
        <v>0</v>
      </c>
      <c r="C25" s="53">
        <v>0</v>
      </c>
      <c r="D25" s="53">
        <f>B25-C25</f>
        <v>0</v>
      </c>
      <c r="E25" s="53">
        <v>168</v>
      </c>
      <c r="F25" s="53">
        <v>169</v>
      </c>
      <c r="G25" s="53">
        <v>0</v>
      </c>
      <c r="H25" s="53">
        <v>23395</v>
      </c>
      <c r="I25" s="53">
        <v>19949</v>
      </c>
      <c r="J25" s="53">
        <f>H25-I25</f>
        <v>3446</v>
      </c>
      <c r="K25" s="53">
        <v>0</v>
      </c>
      <c r="L25" s="53">
        <v>0</v>
      </c>
      <c r="M25" s="53">
        <f t="shared" si="1"/>
        <v>0</v>
      </c>
      <c r="N25" s="53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2.75">
      <c r="A26" s="88" t="s">
        <v>26</v>
      </c>
      <c r="B26" s="53">
        <v>0</v>
      </c>
      <c r="C26" s="53">
        <v>0</v>
      </c>
      <c r="D26" s="53">
        <f>B26-C26</f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f>H26-I26</f>
        <v>0</v>
      </c>
      <c r="K26" s="53">
        <v>1495</v>
      </c>
      <c r="L26" s="53">
        <v>1427</v>
      </c>
      <c r="M26" s="53">
        <f t="shared" si="1"/>
        <v>68</v>
      </c>
      <c r="N26" s="53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2.75">
      <c r="A27" s="88" t="s">
        <v>64</v>
      </c>
      <c r="B27" s="53">
        <v>2126</v>
      </c>
      <c r="C27" s="53">
        <v>1750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475</v>
      </c>
      <c r="L27" s="53">
        <v>475</v>
      </c>
      <c r="M27" s="53">
        <f t="shared" si="1"/>
        <v>0</v>
      </c>
      <c r="N27" s="53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5">
      <c r="A28" t="s">
        <v>87</v>
      </c>
      <c r="B28" s="70">
        <v>0</v>
      </c>
      <c r="C28" s="70">
        <v>0</v>
      </c>
      <c r="D28" s="70">
        <f>B28-C28</f>
        <v>0</v>
      </c>
      <c r="E28" s="70">
        <v>5253</v>
      </c>
      <c r="F28" s="70">
        <v>4889</v>
      </c>
      <c r="G28" s="70">
        <f>E28-F28</f>
        <v>364</v>
      </c>
      <c r="H28" s="70">
        <v>0</v>
      </c>
      <c r="I28" s="70">
        <v>0</v>
      </c>
      <c r="J28" s="70">
        <f>H28-I28</f>
        <v>0</v>
      </c>
      <c r="K28" s="70">
        <v>0</v>
      </c>
      <c r="L28" s="70">
        <v>0</v>
      </c>
      <c r="M28" s="70">
        <f t="shared" si="1"/>
        <v>0</v>
      </c>
      <c r="N28" s="53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1:14" s="24" customFormat="1" ht="15.75" customHeight="1">
      <c r="A29" s="66" t="s">
        <v>65</v>
      </c>
      <c r="B29" s="70">
        <f>SUM(B23:B28)</f>
        <v>22341</v>
      </c>
      <c r="C29" s="70">
        <f aca="true" t="shared" si="2" ref="C29:M29">SUM(C23:C28)</f>
        <v>19045</v>
      </c>
      <c r="D29" s="70">
        <f t="shared" si="2"/>
        <v>2920</v>
      </c>
      <c r="E29" s="70">
        <f t="shared" si="2"/>
        <v>26925</v>
      </c>
      <c r="F29" s="70">
        <f t="shared" si="2"/>
        <v>24008</v>
      </c>
      <c r="G29" s="70">
        <f t="shared" si="2"/>
        <v>2918</v>
      </c>
      <c r="H29" s="70">
        <f t="shared" si="2"/>
        <v>26429</v>
      </c>
      <c r="I29" s="70">
        <f t="shared" si="2"/>
        <v>22512</v>
      </c>
      <c r="J29" s="70">
        <f t="shared" si="2"/>
        <v>3917</v>
      </c>
      <c r="K29" s="70">
        <f t="shared" si="2"/>
        <v>26621</v>
      </c>
      <c r="L29" s="70">
        <f t="shared" si="2"/>
        <v>24588</v>
      </c>
      <c r="M29" s="70">
        <f t="shared" si="2"/>
        <v>2033</v>
      </c>
      <c r="N29" s="71"/>
    </row>
    <row r="30" spans="1:25" ht="12.75">
      <c r="A30" s="72" t="s">
        <v>56</v>
      </c>
      <c r="B30" s="10"/>
      <c r="C30" s="10"/>
      <c r="D30" s="73"/>
      <c r="E30" s="73"/>
      <c r="F30" s="10"/>
      <c r="G30" s="73"/>
      <c r="H30" s="73"/>
      <c r="I30" s="10"/>
      <c r="J30" s="10"/>
      <c r="K30" s="10"/>
      <c r="L30" s="10"/>
      <c r="M30" s="10"/>
      <c r="N30" s="10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14" s="24" customFormat="1" ht="15">
      <c r="A31" s="66" t="s">
        <v>66</v>
      </c>
      <c r="B31" s="4">
        <f>B20-B29</f>
        <v>-41</v>
      </c>
      <c r="C31" s="4">
        <f>C20-C29</f>
        <v>5904</v>
      </c>
      <c r="D31" s="4">
        <f>D20+D29</f>
        <v>5569</v>
      </c>
      <c r="E31" s="4">
        <f>E20-E29</f>
        <v>-1025</v>
      </c>
      <c r="F31" s="4">
        <f>F20-F29</f>
        <v>6844</v>
      </c>
      <c r="G31" s="4">
        <f>F31-E31</f>
        <v>7869</v>
      </c>
      <c r="H31" s="4">
        <f>H20-H29</f>
        <v>-129</v>
      </c>
      <c r="I31" s="4">
        <f>I20-I29</f>
        <v>-252</v>
      </c>
      <c r="J31" s="4">
        <f>I31-H31</f>
        <v>-123</v>
      </c>
      <c r="K31" s="4">
        <f>K20-K29</f>
        <v>79</v>
      </c>
      <c r="L31" s="4">
        <f>L20-L29</f>
        <v>375</v>
      </c>
      <c r="M31" s="4">
        <f>L31-K31</f>
        <v>296</v>
      </c>
      <c r="N31" s="74"/>
    </row>
    <row r="32" spans="1:25" ht="12.75">
      <c r="A32" s="72" t="s">
        <v>92</v>
      </c>
      <c r="B32" s="53">
        <v>0</v>
      </c>
      <c r="C32" s="53">
        <v>0</v>
      </c>
      <c r="D32" s="53">
        <f>C32-B32</f>
        <v>0</v>
      </c>
      <c r="E32" s="53">
        <v>700</v>
      </c>
      <c r="F32" s="53">
        <v>700</v>
      </c>
      <c r="G32" s="53">
        <v>0</v>
      </c>
      <c r="H32" s="53">
        <v>0</v>
      </c>
      <c r="I32" s="53">
        <v>0</v>
      </c>
      <c r="J32" s="53">
        <f>I32-H32</f>
        <v>0</v>
      </c>
      <c r="K32" s="53">
        <v>0</v>
      </c>
      <c r="L32" s="53"/>
      <c r="M32" s="3"/>
      <c r="N32" s="10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2.75">
      <c r="A33" s="72" t="s">
        <v>69</v>
      </c>
      <c r="B33" s="3">
        <v>81</v>
      </c>
      <c r="C33" s="3">
        <v>81</v>
      </c>
      <c r="D33" s="53">
        <f>C33-B33</f>
        <v>0</v>
      </c>
      <c r="E33" s="3">
        <v>115</v>
      </c>
      <c r="F33" s="3">
        <v>115</v>
      </c>
      <c r="G33" s="53">
        <f>F33-E33</f>
        <v>0</v>
      </c>
      <c r="H33" s="75">
        <v>0</v>
      </c>
      <c r="I33" s="75">
        <v>0</v>
      </c>
      <c r="J33" s="53">
        <f>I33-H33</f>
        <v>0</v>
      </c>
      <c r="K33" s="53">
        <v>0</v>
      </c>
      <c r="L33" s="53">
        <v>0</v>
      </c>
      <c r="M33" s="3">
        <f>L33-K33</f>
        <v>0</v>
      </c>
      <c r="N33" s="10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5">
      <c r="A34" s="67" t="s">
        <v>96</v>
      </c>
      <c r="B34" s="70">
        <v>0</v>
      </c>
      <c r="C34" s="70">
        <v>-234</v>
      </c>
      <c r="D34" s="70">
        <f>C34-B34</f>
        <v>-234</v>
      </c>
      <c r="E34" s="70">
        <v>0</v>
      </c>
      <c r="F34" s="70">
        <v>-37</v>
      </c>
      <c r="G34" s="70">
        <f>F34-E34</f>
        <v>-37</v>
      </c>
      <c r="H34" s="70">
        <v>0</v>
      </c>
      <c r="I34" s="70">
        <v>-1200</v>
      </c>
      <c r="J34" s="70">
        <f>I34-H34</f>
        <v>-1200</v>
      </c>
      <c r="K34" s="70">
        <v>0</v>
      </c>
      <c r="L34" s="70">
        <v>0</v>
      </c>
      <c r="M34" s="4">
        <f>L34-K34</f>
        <v>0</v>
      </c>
      <c r="N34" s="53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14" s="24" customFormat="1" ht="15">
      <c r="A35" s="66" t="s">
        <v>67</v>
      </c>
      <c r="B35" s="70">
        <f>SUM(B33:B34)</f>
        <v>81</v>
      </c>
      <c r="C35" s="70">
        <f>SUM(C32:C34)</f>
        <v>-153</v>
      </c>
      <c r="D35" s="70">
        <f>SUM(D32:D34)</f>
        <v>-234</v>
      </c>
      <c r="E35" s="70">
        <f>SUM(E32:E34)</f>
        <v>815</v>
      </c>
      <c r="F35" s="70">
        <f>SUM(F32:F34)</f>
        <v>778</v>
      </c>
      <c r="G35" s="70">
        <f>SUM(G32:G34)</f>
        <v>-37</v>
      </c>
      <c r="H35" s="70">
        <f>SUM(H33:H34)</f>
        <v>0</v>
      </c>
      <c r="I35" s="70">
        <f>SUM(I32:I34)</f>
        <v>-1200</v>
      </c>
      <c r="J35" s="70">
        <f>SUM(J32:J34)</f>
        <v>-1200</v>
      </c>
      <c r="K35" s="70">
        <f>SUM(K33:K34)</f>
        <v>0</v>
      </c>
      <c r="L35" s="70">
        <f>SUM(L32:L34)</f>
        <v>0</v>
      </c>
      <c r="M35" s="70">
        <f>SUM(M32:M34)</f>
        <v>0</v>
      </c>
      <c r="N35" s="76"/>
    </row>
    <row r="36" spans="1:25" ht="15">
      <c r="A36" s="66" t="s">
        <v>72</v>
      </c>
      <c r="B36" s="77">
        <f>B31+B35</f>
        <v>40</v>
      </c>
      <c r="C36" s="53">
        <f>C31+C35</f>
        <v>5751</v>
      </c>
      <c r="D36" s="77">
        <f>D31+D35</f>
        <v>5335</v>
      </c>
      <c r="E36" s="77">
        <f>E31+E35</f>
        <v>-210</v>
      </c>
      <c r="F36" s="53">
        <f>F31+F35</f>
        <v>7622</v>
      </c>
      <c r="G36" s="77">
        <f>G31+G35</f>
        <v>7832</v>
      </c>
      <c r="H36" s="77">
        <f>H31+H35</f>
        <v>-129</v>
      </c>
      <c r="I36" s="53">
        <f>I31+I35</f>
        <v>-1452</v>
      </c>
      <c r="J36" s="77">
        <f>J31+J35</f>
        <v>-1323</v>
      </c>
      <c r="K36" s="77">
        <f>K31+K35</f>
        <v>79</v>
      </c>
      <c r="L36" s="53">
        <f>L31+L35</f>
        <v>375</v>
      </c>
      <c r="M36" s="77">
        <f>M31+M35</f>
        <v>296</v>
      </c>
      <c r="N36" s="78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2.75">
      <c r="A37" s="66" t="s">
        <v>68</v>
      </c>
      <c r="B37" s="53"/>
      <c r="C37" s="53">
        <v>9054</v>
      </c>
      <c r="D37" s="53"/>
      <c r="E37" s="53"/>
      <c r="F37" s="53">
        <v>19113</v>
      </c>
      <c r="G37" s="53"/>
      <c r="H37" s="53"/>
      <c r="I37" s="53">
        <v>5841</v>
      </c>
      <c r="J37" s="59"/>
      <c r="K37" s="53"/>
      <c r="L37" s="53">
        <v>9749</v>
      </c>
      <c r="M37" s="53"/>
      <c r="N37" s="53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">
      <c r="A38" s="67" t="s">
        <v>37</v>
      </c>
      <c r="B38" s="53"/>
      <c r="C38" s="70">
        <v>153</v>
      </c>
      <c r="D38" s="53"/>
      <c r="E38" s="53"/>
      <c r="F38" s="70">
        <v>-78</v>
      </c>
      <c r="G38" s="53"/>
      <c r="H38" s="53"/>
      <c r="I38" s="70">
        <v>1200</v>
      </c>
      <c r="J38" s="59"/>
      <c r="K38" s="53"/>
      <c r="L38" s="70">
        <v>0</v>
      </c>
      <c r="M38" s="53"/>
      <c r="N38" s="53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>
      <c r="A39" s="66" t="s">
        <v>38</v>
      </c>
      <c r="B39" s="53"/>
      <c r="C39" s="77">
        <f>C36+C37+C38</f>
        <v>14958</v>
      </c>
      <c r="D39" s="53"/>
      <c r="E39" s="53"/>
      <c r="F39" s="77">
        <f>F36+F37+F38</f>
        <v>26657</v>
      </c>
      <c r="G39" s="53"/>
      <c r="H39" s="53"/>
      <c r="I39" s="77">
        <f>I36+I37+I38</f>
        <v>5589</v>
      </c>
      <c r="J39" s="59"/>
      <c r="K39" s="53"/>
      <c r="L39" s="77">
        <f>L36+L37+L38</f>
        <v>10124</v>
      </c>
      <c r="M39" s="53"/>
      <c r="N39" s="53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">
      <c r="A40" s="66"/>
      <c r="B40" s="53"/>
      <c r="C40" s="77"/>
      <c r="D40" s="53"/>
      <c r="E40" s="53"/>
      <c r="F40" s="77"/>
      <c r="G40" s="53"/>
      <c r="H40" s="53"/>
      <c r="I40" s="77"/>
      <c r="J40" s="59"/>
      <c r="K40" s="53"/>
      <c r="L40" s="77"/>
      <c r="M40" s="53"/>
      <c r="N40" s="53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">
      <c r="A41" s="66"/>
      <c r="B41" s="53"/>
      <c r="C41" s="77"/>
      <c r="D41" s="53"/>
      <c r="E41" s="53"/>
      <c r="F41" s="77"/>
      <c r="G41" s="53"/>
      <c r="H41" s="53"/>
      <c r="I41" s="77"/>
      <c r="J41" s="59"/>
      <c r="K41" s="53"/>
      <c r="L41" s="77"/>
      <c r="M41" s="53"/>
      <c r="N41" s="53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5">
      <c r="A42" s="66"/>
      <c r="B42" s="53"/>
      <c r="C42" s="77"/>
      <c r="D42" s="53"/>
      <c r="E42" s="53"/>
      <c r="F42" s="77"/>
      <c r="G42" s="53"/>
      <c r="H42" s="53"/>
      <c r="I42" s="77"/>
      <c r="J42" s="59"/>
      <c r="K42" s="53"/>
      <c r="L42" s="77"/>
      <c r="M42" s="53"/>
      <c r="N42" s="5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5">
      <c r="A43" s="66"/>
      <c r="B43" s="53"/>
      <c r="C43" s="77"/>
      <c r="D43" s="53"/>
      <c r="E43" s="53"/>
      <c r="F43" s="77"/>
      <c r="G43" s="53"/>
      <c r="H43" s="53"/>
      <c r="I43" s="77"/>
      <c r="J43" s="59"/>
      <c r="K43" s="53"/>
      <c r="L43" s="77"/>
      <c r="M43" s="53"/>
      <c r="N43" s="53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">
      <c r="A44" s="66"/>
      <c r="B44" s="53"/>
      <c r="C44" s="77"/>
      <c r="D44" s="53"/>
      <c r="E44" s="53"/>
      <c r="F44" s="77"/>
      <c r="G44" s="53"/>
      <c r="H44" s="53"/>
      <c r="I44" s="77"/>
      <c r="J44" s="59"/>
      <c r="K44" s="53"/>
      <c r="L44" s="77"/>
      <c r="M44" s="53"/>
      <c r="N44" s="53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5">
      <c r="A45" s="66"/>
      <c r="B45" s="53"/>
      <c r="C45" s="77"/>
      <c r="D45" s="53"/>
      <c r="E45" s="53"/>
      <c r="F45" s="77"/>
      <c r="G45" s="53"/>
      <c r="H45" s="53"/>
      <c r="I45" s="77"/>
      <c r="J45" s="59"/>
      <c r="K45" s="53"/>
      <c r="L45" s="77"/>
      <c r="M45" s="53"/>
      <c r="N45" s="53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5">
      <c r="A46" s="66"/>
      <c r="B46" s="53"/>
      <c r="C46" s="77"/>
      <c r="D46" s="53"/>
      <c r="E46" s="53"/>
      <c r="F46" s="77"/>
      <c r="G46" s="53"/>
      <c r="H46" s="53"/>
      <c r="I46" s="77"/>
      <c r="J46" s="59"/>
      <c r="K46" s="53"/>
      <c r="L46" s="77"/>
      <c r="M46" s="53"/>
      <c r="N46" s="53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5">
      <c r="A47" s="66"/>
      <c r="B47" s="53"/>
      <c r="C47" s="77"/>
      <c r="D47" s="53"/>
      <c r="E47" s="53"/>
      <c r="F47" s="77"/>
      <c r="G47" s="53"/>
      <c r="H47" s="53"/>
      <c r="I47" s="77"/>
      <c r="J47" s="59"/>
      <c r="K47" s="53"/>
      <c r="L47" s="77"/>
      <c r="M47" s="53"/>
      <c r="N47" s="53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5">
      <c r="A48" s="66"/>
      <c r="B48" s="53"/>
      <c r="C48" s="77"/>
      <c r="D48" s="53"/>
      <c r="E48" s="53"/>
      <c r="F48" s="77"/>
      <c r="G48" s="53"/>
      <c r="H48" s="53"/>
      <c r="I48" s="77"/>
      <c r="J48" s="59"/>
      <c r="K48" s="53"/>
      <c r="L48" s="77"/>
      <c r="M48" s="53"/>
      <c r="N48" s="53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5">
      <c r="A49" s="66"/>
      <c r="B49" s="53"/>
      <c r="C49" s="77"/>
      <c r="D49" s="53"/>
      <c r="E49" s="53"/>
      <c r="F49" s="77"/>
      <c r="G49" s="53"/>
      <c r="H49" s="53"/>
      <c r="I49" s="77"/>
      <c r="J49" s="59"/>
      <c r="K49" s="53"/>
      <c r="L49" s="77"/>
      <c r="M49" s="53"/>
      <c r="N49" s="53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5">
      <c r="A50" s="66"/>
      <c r="B50" s="53"/>
      <c r="C50" s="77"/>
      <c r="D50" s="53"/>
      <c r="E50" s="53"/>
      <c r="F50" s="77"/>
      <c r="G50" s="53"/>
      <c r="H50" s="53"/>
      <c r="I50" s="77"/>
      <c r="J50" s="59"/>
      <c r="K50" s="53"/>
      <c r="O50" s="138" t="s">
        <v>57</v>
      </c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5">
      <c r="A51" s="66"/>
      <c r="B51" s="53"/>
      <c r="C51" s="77"/>
      <c r="D51" s="53"/>
      <c r="E51" s="53"/>
      <c r="F51" s="77"/>
      <c r="G51" s="53"/>
      <c r="H51" s="53"/>
      <c r="I51" s="77"/>
      <c r="J51" s="59"/>
      <c r="K51" s="53"/>
      <c r="L51" s="77"/>
      <c r="M51" s="53"/>
      <c r="N51" s="53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5">
      <c r="A52" s="66"/>
      <c r="B52" s="53"/>
      <c r="C52" s="77"/>
      <c r="D52" s="53"/>
      <c r="E52" s="53"/>
      <c r="F52" s="77"/>
      <c r="G52" s="53"/>
      <c r="H52" s="53"/>
      <c r="I52" s="77"/>
      <c r="J52" s="59"/>
      <c r="K52" s="53"/>
      <c r="L52" s="77"/>
      <c r="M52" s="53"/>
      <c r="N52" s="53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5">
      <c r="A53" s="66"/>
      <c r="B53" s="53"/>
      <c r="C53" s="77"/>
      <c r="D53" s="53"/>
      <c r="E53" s="53"/>
      <c r="F53" s="77"/>
      <c r="G53" s="53"/>
      <c r="H53" s="53"/>
      <c r="I53" s="77"/>
      <c r="J53" s="59"/>
      <c r="K53" s="53"/>
      <c r="L53" s="77"/>
      <c r="M53" s="53"/>
      <c r="N53" s="53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14" s="10" customFormat="1" ht="15">
      <c r="A54" s="52"/>
      <c r="B54" s="53"/>
      <c r="C54" s="54"/>
      <c r="D54" s="53"/>
      <c r="E54" s="53"/>
      <c r="F54" s="54"/>
      <c r="G54" s="53"/>
      <c r="H54" s="53"/>
      <c r="I54" s="53"/>
      <c r="J54" s="54"/>
      <c r="K54" s="53"/>
      <c r="L54" s="53"/>
      <c r="M54" s="53"/>
      <c r="N54" s="53"/>
    </row>
    <row r="55" spans="1:25" ht="17.25" customHeight="1">
      <c r="A55" s="52"/>
      <c r="B55" s="53"/>
      <c r="C55" s="54"/>
      <c r="D55" s="53"/>
      <c r="E55" s="53"/>
      <c r="F55" s="54"/>
      <c r="G55" s="53"/>
      <c r="H55" s="53"/>
      <c r="I55" s="53"/>
      <c r="J55" s="54"/>
      <c r="K55" s="53"/>
      <c r="L55" s="53"/>
      <c r="M55" s="53"/>
      <c r="N55" s="53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2.75">
      <c r="A58" s="10"/>
      <c r="B58" s="59"/>
      <c r="C58" s="3"/>
      <c r="D58" s="10"/>
      <c r="E58" s="10"/>
      <c r="F58" s="3"/>
      <c r="G58" s="10"/>
      <c r="H58" s="10"/>
      <c r="I58" s="59"/>
      <c r="J58" s="80"/>
      <c r="K58" s="10"/>
      <c r="L58" s="10"/>
      <c r="M58" s="59"/>
      <c r="N58" s="1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5">
      <c r="A59" s="23"/>
      <c r="B59" s="81"/>
      <c r="C59" s="80"/>
      <c r="D59" s="23"/>
      <c r="E59" s="23"/>
      <c r="F59" s="80"/>
      <c r="G59" s="23"/>
      <c r="H59" s="23"/>
      <c r="I59" s="82"/>
      <c r="J59" s="83"/>
      <c r="K59" s="23"/>
      <c r="L59" s="23"/>
      <c r="M59" s="82"/>
      <c r="N59" s="23"/>
      <c r="O59" s="79"/>
      <c r="P59" s="79"/>
      <c r="Q59" s="79"/>
      <c r="R59" s="79"/>
      <c r="S59" s="79"/>
      <c r="T59" s="79"/>
      <c r="U59" s="79"/>
      <c r="V59" s="59"/>
      <c r="W59" s="59"/>
      <c r="X59" s="59"/>
      <c r="Y59" s="59"/>
    </row>
    <row r="60" spans="1:25" ht="12.75">
      <c r="A60" s="59"/>
      <c r="B60" s="81"/>
      <c r="C60" s="59"/>
      <c r="D60" s="59"/>
      <c r="E60" s="59"/>
      <c r="F60" s="59"/>
      <c r="G60" s="59"/>
      <c r="H60" s="59"/>
      <c r="I60" s="81"/>
      <c r="J60" s="59"/>
      <c r="K60" s="59"/>
      <c r="L60" s="59"/>
      <c r="M60" s="81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</sheetData>
  <mergeCells count="6">
    <mergeCell ref="B14:D14"/>
    <mergeCell ref="F11:G11"/>
    <mergeCell ref="L15:M15"/>
    <mergeCell ref="E14:G14"/>
    <mergeCell ref="H14:J14"/>
    <mergeCell ref="K14:M14"/>
  </mergeCells>
  <printOptions/>
  <pageMargins left="0.5" right="0.5" top="0.6" bottom="0.6" header="0.25" footer="0.33"/>
  <pageSetup firstPageNumber="102" useFirstPageNumber="1" fitToWidth="2" fitToHeight="1" horizontalDpi="300" verticalDpi="300" orientation="portrait" r:id="rId1"/>
  <headerFooter alignWithMargins="0">
    <oddHeader>&amp;L&amp;12&amp;U____________________________________________________________________________________&amp;C&amp;"Times New Roman,Bold Italic"&amp;12Connecticut</oddHeader>
    <oddFooter>&amp;C&amp;"Times New Roman,Bold"&amp;P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1"/>
  <sheetViews>
    <sheetView showGridLines="0" tabSelected="1" workbookViewId="0" topLeftCell="A23">
      <selection activeCell="A35" sqref="A35"/>
    </sheetView>
  </sheetViews>
  <sheetFormatPr defaultColWidth="9.33203125" defaultRowHeight="12.75"/>
  <cols>
    <col min="1" max="1" width="42.66015625" style="0" customWidth="1"/>
    <col min="2" max="2" width="11.66015625" style="0" customWidth="1"/>
    <col min="3" max="3" width="10.33203125" style="0" customWidth="1"/>
    <col min="4" max="4" width="11.33203125" style="0" customWidth="1"/>
    <col min="5" max="5" width="9.16015625" style="0" customWidth="1"/>
    <col min="6" max="6" width="10.5" style="0" bestFit="1" customWidth="1"/>
    <col min="7" max="7" width="9.83203125" style="0" customWidth="1"/>
    <col min="8" max="8" width="9.5" style="0" bestFit="1" customWidth="1"/>
    <col min="9" max="9" width="9.83203125" style="0" customWidth="1"/>
    <col min="10" max="10" width="10.33203125" style="0" customWidth="1"/>
    <col min="11" max="11" width="10" style="0" customWidth="1"/>
    <col min="12" max="12" width="10.33203125" style="0" customWidth="1"/>
    <col min="13" max="15" width="15.66015625" style="0" bestFit="1" customWidth="1"/>
  </cols>
  <sheetData>
    <row r="1" spans="1:13" ht="18" customHeight="1">
      <c r="A1" s="34" t="s">
        <v>58</v>
      </c>
      <c r="B1" s="34"/>
      <c r="C1" s="34"/>
      <c r="D1" s="34"/>
      <c r="E1" s="35"/>
      <c r="J1" s="132"/>
      <c r="M1" s="91"/>
    </row>
    <row r="2" spans="1:13" ht="18" customHeight="1">
      <c r="A2" s="35" t="s">
        <v>46</v>
      </c>
      <c r="B2" s="35"/>
      <c r="C2" s="35"/>
      <c r="D2" s="35"/>
      <c r="E2" s="35"/>
      <c r="J2" s="87"/>
      <c r="M2" s="87"/>
    </row>
    <row r="3" spans="1:5" ht="18" customHeight="1">
      <c r="A3" s="8" t="s">
        <v>0</v>
      </c>
      <c r="B3" s="8"/>
      <c r="C3" s="8"/>
      <c r="D3" s="8"/>
      <c r="E3" s="8"/>
    </row>
    <row r="4" spans="1:46" ht="18" customHeight="1">
      <c r="A4" s="49" t="s">
        <v>71</v>
      </c>
      <c r="B4" s="49"/>
      <c r="C4" s="49"/>
      <c r="D4" s="49"/>
      <c r="E4" s="4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8" ht="15" customHeight="1">
      <c r="A5" s="50" t="s">
        <v>90</v>
      </c>
      <c r="B5" s="50"/>
      <c r="C5" s="50"/>
      <c r="D5" s="50"/>
      <c r="E5" s="50"/>
      <c r="H5" s="51"/>
    </row>
    <row r="6" spans="1:8" ht="15" customHeight="1">
      <c r="A6" s="50" t="s">
        <v>1</v>
      </c>
      <c r="B6" s="50"/>
      <c r="C6" s="50"/>
      <c r="D6" s="50"/>
      <c r="E6" s="50"/>
      <c r="H6" s="51"/>
    </row>
    <row r="7" spans="1:8" ht="15" customHeight="1">
      <c r="A7" s="50"/>
      <c r="B7" s="50"/>
      <c r="C7" s="50"/>
      <c r="D7" s="50"/>
      <c r="E7" s="50"/>
      <c r="H7" s="51"/>
    </row>
    <row r="8" spans="1:8" ht="15" customHeight="1">
      <c r="A8" s="50"/>
      <c r="B8" s="50"/>
      <c r="C8" s="50"/>
      <c r="D8" s="50"/>
      <c r="E8" s="50"/>
      <c r="H8" s="51"/>
    </row>
    <row r="9" spans="1:8" ht="15" customHeight="1">
      <c r="A9" s="50"/>
      <c r="B9" s="50"/>
      <c r="C9" s="50"/>
      <c r="D9" s="50"/>
      <c r="E9" s="50"/>
      <c r="H9" s="51"/>
    </row>
    <row r="10" spans="1:8" ht="15" customHeight="1">
      <c r="A10" s="50"/>
      <c r="B10" s="50"/>
      <c r="C10" s="50"/>
      <c r="D10" s="50"/>
      <c r="E10" s="50"/>
      <c r="H10" s="51"/>
    </row>
    <row r="11" spans="1:25" ht="13.5" customHeight="1">
      <c r="A11" s="58"/>
      <c r="B11" s="58"/>
      <c r="C11" s="58"/>
      <c r="D11" s="58"/>
      <c r="E11" s="148" t="s">
        <v>70</v>
      </c>
      <c r="F11" s="148"/>
      <c r="G11" s="148"/>
      <c r="H11" s="146"/>
      <c r="I11" s="146"/>
      <c r="J11" s="146"/>
      <c r="K11" s="146"/>
      <c r="L11" s="146"/>
      <c r="M11" s="146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13.5" customHeight="1">
      <c r="A12" s="60"/>
      <c r="B12" s="144" t="s">
        <v>51</v>
      </c>
      <c r="C12" s="144"/>
      <c r="D12" s="144"/>
      <c r="E12" s="147" t="s">
        <v>52</v>
      </c>
      <c r="F12" s="144"/>
      <c r="G12" s="144"/>
      <c r="H12" s="144" t="s">
        <v>53</v>
      </c>
      <c r="I12" s="144"/>
      <c r="J12" s="144"/>
      <c r="K12" s="146" t="s">
        <v>54</v>
      </c>
      <c r="L12" s="146"/>
      <c r="M12" s="146"/>
      <c r="N12" s="61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2.75">
      <c r="A13" s="11"/>
      <c r="B13" s="55" t="s">
        <v>6</v>
      </c>
      <c r="C13" s="39"/>
      <c r="D13" s="59"/>
      <c r="E13" s="55" t="s">
        <v>6</v>
      </c>
      <c r="F13" s="39"/>
      <c r="G13" s="58"/>
      <c r="H13" s="55" t="s">
        <v>6</v>
      </c>
      <c r="I13" s="39"/>
      <c r="J13" s="58"/>
      <c r="K13" s="55" t="s">
        <v>6</v>
      </c>
      <c r="L13" s="39"/>
      <c r="M13" s="58"/>
      <c r="N13" s="6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5">
      <c r="A14" s="58"/>
      <c r="B14" s="56" t="s">
        <v>3</v>
      </c>
      <c r="C14" s="56" t="s">
        <v>4</v>
      </c>
      <c r="D14" s="57" t="s">
        <v>55</v>
      </c>
      <c r="E14" s="56" t="s">
        <v>3</v>
      </c>
      <c r="F14" s="56" t="s">
        <v>4</v>
      </c>
      <c r="G14" s="57" t="s">
        <v>55</v>
      </c>
      <c r="H14" s="56" t="s">
        <v>3</v>
      </c>
      <c r="I14" s="56" t="s">
        <v>4</v>
      </c>
      <c r="J14" s="57" t="s">
        <v>55</v>
      </c>
      <c r="K14" s="56" t="s">
        <v>3</v>
      </c>
      <c r="L14" s="56" t="s">
        <v>4</v>
      </c>
      <c r="M14" s="57" t="s">
        <v>55</v>
      </c>
      <c r="N14" s="64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4" ht="12.75">
      <c r="A15" s="11" t="s">
        <v>11</v>
      </c>
      <c r="B15" s="11"/>
      <c r="C15" s="11"/>
      <c r="D15" s="11"/>
    </row>
    <row r="16" ht="12.75">
      <c r="A16" t="s">
        <v>12</v>
      </c>
    </row>
    <row r="17" spans="1:25" ht="12.75">
      <c r="A17" s="67" t="s">
        <v>60</v>
      </c>
      <c r="B17" s="86">
        <v>0</v>
      </c>
      <c r="C17" s="86">
        <v>0</v>
      </c>
      <c r="D17" s="86">
        <v>0</v>
      </c>
      <c r="E17" s="86">
        <v>61800</v>
      </c>
      <c r="F17" s="86">
        <v>61800</v>
      </c>
      <c r="G17" s="86">
        <f>F17-E17</f>
        <v>0</v>
      </c>
      <c r="H17" s="86">
        <v>0</v>
      </c>
      <c r="I17" s="86">
        <v>0</v>
      </c>
      <c r="J17" s="86">
        <f>I17-H17</f>
        <v>0</v>
      </c>
      <c r="K17" s="86">
        <v>3100</v>
      </c>
      <c r="L17" s="86">
        <v>2295</v>
      </c>
      <c r="M17" s="86">
        <f>L17-K17</f>
        <v>-805</v>
      </c>
      <c r="N17" s="6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15">
      <c r="A18" s="88" t="s">
        <v>83</v>
      </c>
      <c r="B18" s="69">
        <v>3310</v>
      </c>
      <c r="C18" s="69">
        <f>1118+118+3+1692-200</f>
        <v>2731</v>
      </c>
      <c r="D18" s="70">
        <f>C18-B18</f>
        <v>-579</v>
      </c>
      <c r="E18" s="69">
        <v>0</v>
      </c>
      <c r="F18" s="69">
        <v>0</v>
      </c>
      <c r="G18" s="69">
        <f>F18-E18</f>
        <v>0</v>
      </c>
      <c r="H18" s="69">
        <v>925</v>
      </c>
      <c r="I18" s="69">
        <f>888+1-45</f>
        <v>844</v>
      </c>
      <c r="J18" s="69">
        <f>I18-H18</f>
        <v>-81</v>
      </c>
      <c r="K18" s="69">
        <v>0</v>
      </c>
      <c r="L18" s="69">
        <v>0</v>
      </c>
      <c r="M18" s="69">
        <f>L18-K18</f>
        <v>0</v>
      </c>
      <c r="N18" s="6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38" s="24" customFormat="1" ht="15">
      <c r="A19" s="66" t="s">
        <v>61</v>
      </c>
      <c r="B19" s="70">
        <f>SUM(B17:B18)</f>
        <v>3310</v>
      </c>
      <c r="C19" s="70">
        <f>SUM(C17:C18)</f>
        <v>2731</v>
      </c>
      <c r="D19" s="70">
        <f>SUM(D17:D18)</f>
        <v>-579</v>
      </c>
      <c r="E19" s="70">
        <f aca="true" t="shared" si="0" ref="E19:M19">SUM(E17:E18)</f>
        <v>61800</v>
      </c>
      <c r="F19" s="70">
        <f t="shared" si="0"/>
        <v>61800</v>
      </c>
      <c r="G19" s="70">
        <f t="shared" si="0"/>
        <v>0</v>
      </c>
      <c r="H19" s="70">
        <f t="shared" si="0"/>
        <v>925</v>
      </c>
      <c r="I19" s="70">
        <f t="shared" si="0"/>
        <v>844</v>
      </c>
      <c r="J19" s="70">
        <f t="shared" si="0"/>
        <v>-81</v>
      </c>
      <c r="K19" s="70">
        <f t="shared" si="0"/>
        <v>3100</v>
      </c>
      <c r="L19" s="70">
        <f t="shared" si="0"/>
        <v>2295</v>
      </c>
      <c r="M19" s="70">
        <f t="shared" si="0"/>
        <v>-805</v>
      </c>
      <c r="N19" s="5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5">
      <c r="A20" s="65" t="s">
        <v>21</v>
      </c>
      <c r="B20" s="65"/>
      <c r="C20" s="65"/>
      <c r="D20" s="65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25" ht="12.75">
      <c r="A21" s="66" t="s">
        <v>12</v>
      </c>
      <c r="B21" s="66"/>
      <c r="C21" s="66"/>
      <c r="D21" s="6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2.75">
      <c r="A22" s="72" t="s">
        <v>89</v>
      </c>
      <c r="B22" s="139">
        <v>0</v>
      </c>
      <c r="C22" s="139">
        <v>0</v>
      </c>
      <c r="D22" s="53">
        <f>B23-C23</f>
        <v>0</v>
      </c>
      <c r="E22" s="3">
        <v>61780</v>
      </c>
      <c r="F22" s="3">
        <v>61679</v>
      </c>
      <c r="G22" s="53">
        <f>E22-F22</f>
        <v>101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f>K22-L22</f>
        <v>0</v>
      </c>
      <c r="N22" s="10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12.75">
      <c r="A23" s="67" t="s">
        <v>63</v>
      </c>
      <c r="B23" s="53">
        <v>0</v>
      </c>
      <c r="C23" s="53">
        <v>0</v>
      </c>
      <c r="D23" s="53">
        <f>B24-C24</f>
        <v>0</v>
      </c>
      <c r="E23" s="53">
        <v>0</v>
      </c>
      <c r="F23" s="53">
        <v>0</v>
      </c>
      <c r="G23" s="53">
        <f>E23-F23</f>
        <v>0</v>
      </c>
      <c r="H23" s="53">
        <v>927</v>
      </c>
      <c r="I23" s="53">
        <v>851</v>
      </c>
      <c r="J23" s="53">
        <f>H23-I23</f>
        <v>76</v>
      </c>
      <c r="K23" s="53">
        <v>0</v>
      </c>
      <c r="L23" s="53">
        <v>0</v>
      </c>
      <c r="M23" s="53">
        <f>K23-L23</f>
        <v>0</v>
      </c>
      <c r="N23" s="53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12.75">
      <c r="A24" s="67" t="s">
        <v>64</v>
      </c>
      <c r="B24" s="53">
        <v>0</v>
      </c>
      <c r="C24" s="53">
        <v>0</v>
      </c>
      <c r="D24" s="53">
        <f>B24-C24</f>
        <v>0</v>
      </c>
      <c r="E24" s="53">
        <v>0</v>
      </c>
      <c r="F24" s="53">
        <v>0</v>
      </c>
      <c r="G24" s="53">
        <f>E24-F24</f>
        <v>0</v>
      </c>
      <c r="H24" s="53">
        <v>0</v>
      </c>
      <c r="I24" s="53">
        <v>0</v>
      </c>
      <c r="J24" s="53">
        <f>H24-I24</f>
        <v>0</v>
      </c>
      <c r="K24" s="53">
        <v>3035</v>
      </c>
      <c r="L24" s="53">
        <v>3035</v>
      </c>
      <c r="M24" s="53">
        <f>K24-L24</f>
        <v>0</v>
      </c>
      <c r="N24" s="53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12.75">
      <c r="A25" s="88" t="s">
        <v>87</v>
      </c>
      <c r="B25" s="135">
        <v>3494</v>
      </c>
      <c r="C25" s="135">
        <v>3394</v>
      </c>
      <c r="D25" s="53">
        <f>B25-C25</f>
        <v>100</v>
      </c>
      <c r="E25" s="53">
        <v>0</v>
      </c>
      <c r="F25" s="53">
        <v>0</v>
      </c>
      <c r="G25" s="53">
        <f>E25-F25</f>
        <v>0</v>
      </c>
      <c r="H25" s="53">
        <v>0</v>
      </c>
      <c r="I25" s="53">
        <v>0</v>
      </c>
      <c r="J25" s="53">
        <f>H25-I25</f>
        <v>0</v>
      </c>
      <c r="K25" s="53">
        <v>0</v>
      </c>
      <c r="L25" s="53">
        <v>0</v>
      </c>
      <c r="M25" s="53">
        <f>K25-L25</f>
        <v>0</v>
      </c>
      <c r="N25" s="53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15">
      <c r="A26" s="88" t="s">
        <v>88</v>
      </c>
      <c r="B26" s="70">
        <v>0</v>
      </c>
      <c r="C26" s="70">
        <v>0</v>
      </c>
      <c r="D26" s="70">
        <f>B26-C26</f>
        <v>0</v>
      </c>
      <c r="E26" s="70">
        <v>0</v>
      </c>
      <c r="F26" s="70">
        <v>0</v>
      </c>
      <c r="G26" s="70">
        <f>E26-F26</f>
        <v>0</v>
      </c>
      <c r="H26" s="70">
        <v>38</v>
      </c>
      <c r="I26" s="70">
        <v>38</v>
      </c>
      <c r="J26" s="70">
        <f>H26-I26</f>
        <v>0</v>
      </c>
      <c r="K26" s="70">
        <v>0</v>
      </c>
      <c r="L26" s="70">
        <v>0</v>
      </c>
      <c r="M26" s="70">
        <f>K26-L26</f>
        <v>0</v>
      </c>
      <c r="N26" s="53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14" s="24" customFormat="1" ht="15">
      <c r="A27" s="66" t="s">
        <v>65</v>
      </c>
      <c r="B27" s="70">
        <f>SUM(B23:B26)</f>
        <v>3494</v>
      </c>
      <c r="C27" s="70">
        <f>SUM(C23:C26)</f>
        <v>3394</v>
      </c>
      <c r="D27" s="70">
        <f>SUM(D22:D26)</f>
        <v>100</v>
      </c>
      <c r="E27" s="70">
        <f>SUM(E22:E26)</f>
        <v>61780</v>
      </c>
      <c r="F27" s="70">
        <f>SUM(F22:F26)</f>
        <v>61679</v>
      </c>
      <c r="G27" s="70">
        <f aca="true" t="shared" si="1" ref="G27:M27">SUM(G23:G26)</f>
        <v>0</v>
      </c>
      <c r="H27" s="70">
        <f t="shared" si="1"/>
        <v>965</v>
      </c>
      <c r="I27" s="70">
        <f t="shared" si="1"/>
        <v>889</v>
      </c>
      <c r="J27" s="70">
        <f t="shared" si="1"/>
        <v>76</v>
      </c>
      <c r="K27" s="70">
        <f t="shared" si="1"/>
        <v>3035</v>
      </c>
      <c r="L27" s="70">
        <f t="shared" si="1"/>
        <v>3035</v>
      </c>
      <c r="M27" s="70">
        <f t="shared" si="1"/>
        <v>0</v>
      </c>
      <c r="N27" s="71"/>
    </row>
    <row r="28" spans="1:25" ht="12.75">
      <c r="A28" s="72" t="s">
        <v>56</v>
      </c>
      <c r="B28" s="72"/>
      <c r="C28" s="72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14" s="24" customFormat="1" ht="15">
      <c r="A29" s="66" t="s">
        <v>66</v>
      </c>
      <c r="B29" s="4">
        <f>B19-B27</f>
        <v>-184</v>
      </c>
      <c r="C29" s="4">
        <f>C19-C27</f>
        <v>-663</v>
      </c>
      <c r="D29" s="4">
        <f>C29-B29</f>
        <v>-479</v>
      </c>
      <c r="E29" s="4">
        <f>E19-E27</f>
        <v>20</v>
      </c>
      <c r="F29" s="4">
        <f>F19-F27</f>
        <v>121</v>
      </c>
      <c r="G29" s="4">
        <f>F29-E29</f>
        <v>101</v>
      </c>
      <c r="H29" s="4">
        <f>H19-H27</f>
        <v>-40</v>
      </c>
      <c r="I29" s="4">
        <f>I19-I27</f>
        <v>-45</v>
      </c>
      <c r="J29" s="4">
        <f>I29-H29</f>
        <v>-5</v>
      </c>
      <c r="K29" s="4">
        <f>K19-K27</f>
        <v>65</v>
      </c>
      <c r="L29" s="4">
        <f>L19-L27</f>
        <v>-740</v>
      </c>
      <c r="M29" s="4">
        <f>L29-K29</f>
        <v>-805</v>
      </c>
      <c r="N29" s="74"/>
    </row>
    <row r="30" spans="1:14" s="24" customFormat="1" ht="15">
      <c r="A30" s="133" t="s">
        <v>35</v>
      </c>
      <c r="B30" s="133"/>
      <c r="C30" s="133"/>
      <c r="D30" s="133"/>
      <c r="E30" s="4"/>
      <c r="F30" s="4"/>
      <c r="G30" s="4"/>
      <c r="H30" s="4"/>
      <c r="I30" s="4"/>
      <c r="J30" s="4"/>
      <c r="K30" s="4"/>
      <c r="L30" s="4"/>
      <c r="M30" s="4"/>
      <c r="N30" s="74"/>
    </row>
    <row r="31" spans="1:14" s="24" customFormat="1" ht="15">
      <c r="A31" s="72" t="s">
        <v>93</v>
      </c>
      <c r="B31" s="140">
        <v>200</v>
      </c>
      <c r="C31" s="140">
        <v>200</v>
      </c>
      <c r="D31" s="141">
        <f>B31-C31</f>
        <v>0</v>
      </c>
      <c r="E31" s="3">
        <v>0</v>
      </c>
      <c r="F31" s="3">
        <v>0</v>
      </c>
      <c r="G31" s="3">
        <f>E31-F31</f>
        <v>0</v>
      </c>
      <c r="H31" s="3">
        <v>45</v>
      </c>
      <c r="I31" s="3">
        <v>45</v>
      </c>
      <c r="J31" s="3">
        <f>H31-I31</f>
        <v>0</v>
      </c>
      <c r="K31" s="3">
        <v>0</v>
      </c>
      <c r="L31" s="3">
        <v>0</v>
      </c>
      <c r="M31" s="53">
        <f>L31-K31</f>
        <v>0</v>
      </c>
      <c r="N31" s="74"/>
    </row>
    <row r="32" spans="1:14" s="24" customFormat="1" ht="15">
      <c r="A32" s="67" t="s">
        <v>97</v>
      </c>
      <c r="B32" s="142">
        <v>0</v>
      </c>
      <c r="C32" s="142">
        <v>0</v>
      </c>
      <c r="D32" s="149">
        <f>B32-C32</f>
        <v>0</v>
      </c>
      <c r="E32" s="4">
        <v>0</v>
      </c>
      <c r="F32" s="4">
        <v>0</v>
      </c>
      <c r="G32" s="4">
        <f>E32-F32</f>
        <v>0</v>
      </c>
      <c r="H32" s="4">
        <v>0</v>
      </c>
      <c r="I32" s="4">
        <v>0</v>
      </c>
      <c r="J32" s="4">
        <f>H32-I32</f>
        <v>0</v>
      </c>
      <c r="K32" s="4">
        <v>0</v>
      </c>
      <c r="L32" s="4">
        <v>-26</v>
      </c>
      <c r="M32" s="70">
        <f>L32-K32</f>
        <v>-26</v>
      </c>
      <c r="N32" s="74"/>
    </row>
    <row r="33" spans="1:14" s="24" customFormat="1" ht="15">
      <c r="A33" s="72" t="s">
        <v>86</v>
      </c>
      <c r="B33" s="4">
        <f>SUM(B31:B32)</f>
        <v>200</v>
      </c>
      <c r="C33" s="4">
        <f>SUM(C31:C32)</f>
        <v>200</v>
      </c>
      <c r="D33" s="4">
        <f aca="true" t="shared" si="2" ref="D33:M33">SUM(D31:D32)</f>
        <v>0</v>
      </c>
      <c r="E33" s="4">
        <f t="shared" si="2"/>
        <v>0</v>
      </c>
      <c r="F33" s="4">
        <f t="shared" si="2"/>
        <v>0</v>
      </c>
      <c r="G33" s="4">
        <f t="shared" si="2"/>
        <v>0</v>
      </c>
      <c r="H33" s="4">
        <f t="shared" si="2"/>
        <v>45</v>
      </c>
      <c r="I33" s="4">
        <f t="shared" si="2"/>
        <v>45</v>
      </c>
      <c r="J33" s="4">
        <f t="shared" si="2"/>
        <v>0</v>
      </c>
      <c r="K33" s="4">
        <f t="shared" si="2"/>
        <v>0</v>
      </c>
      <c r="L33" s="4">
        <f t="shared" si="2"/>
        <v>-26</v>
      </c>
      <c r="M33" s="4">
        <f t="shared" si="2"/>
        <v>-26</v>
      </c>
      <c r="N33" s="74"/>
    </row>
    <row r="34" spans="1:25" ht="15">
      <c r="A34" s="66" t="s">
        <v>72</v>
      </c>
      <c r="B34" s="77">
        <f aca="true" t="shared" si="3" ref="B34:M34">B29+B33</f>
        <v>16</v>
      </c>
      <c r="C34" s="53">
        <f t="shared" si="3"/>
        <v>-463</v>
      </c>
      <c r="D34" s="77">
        <f t="shared" si="3"/>
        <v>-479</v>
      </c>
      <c r="E34" s="77">
        <f t="shared" si="3"/>
        <v>20</v>
      </c>
      <c r="F34" s="53">
        <f t="shared" si="3"/>
        <v>121</v>
      </c>
      <c r="G34" s="77">
        <f t="shared" si="3"/>
        <v>101</v>
      </c>
      <c r="H34" s="77">
        <f t="shared" si="3"/>
        <v>5</v>
      </c>
      <c r="I34" s="53">
        <f t="shared" si="3"/>
        <v>0</v>
      </c>
      <c r="J34" s="77">
        <f t="shared" si="3"/>
        <v>-5</v>
      </c>
      <c r="K34" s="77">
        <f t="shared" si="3"/>
        <v>65</v>
      </c>
      <c r="L34" s="53">
        <f t="shared" si="3"/>
        <v>-766</v>
      </c>
      <c r="M34" s="77">
        <f t="shared" si="3"/>
        <v>-831</v>
      </c>
      <c r="N34" s="7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12.75">
      <c r="A35" s="66" t="s">
        <v>68</v>
      </c>
      <c r="B35" s="66"/>
      <c r="C35" s="136">
        <v>1972</v>
      </c>
      <c r="D35" s="66"/>
      <c r="E35" s="53"/>
      <c r="F35" s="53">
        <v>90</v>
      </c>
      <c r="G35" s="53"/>
      <c r="H35" s="53"/>
      <c r="I35" s="53">
        <v>975</v>
      </c>
      <c r="J35" s="53"/>
      <c r="K35" s="53"/>
      <c r="L35" s="53">
        <v>-4659</v>
      </c>
      <c r="M35" s="53"/>
      <c r="N35" s="53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15">
      <c r="A36" s="72" t="s">
        <v>37</v>
      </c>
      <c r="B36" s="72"/>
      <c r="C36" s="137">
        <v>0</v>
      </c>
      <c r="D36" s="72"/>
      <c r="E36" s="53"/>
      <c r="F36" s="70">
        <v>0</v>
      </c>
      <c r="G36" s="53"/>
      <c r="H36" s="53"/>
      <c r="I36" s="70">
        <v>0</v>
      </c>
      <c r="J36" s="53"/>
      <c r="K36" s="53"/>
      <c r="L36" s="70">
        <v>26</v>
      </c>
      <c r="M36" s="53"/>
      <c r="N36" s="53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5">
      <c r="A37" s="66" t="s">
        <v>38</v>
      </c>
      <c r="B37" s="66"/>
      <c r="C37" s="77">
        <f>SUM(C34:C36)</f>
        <v>1509</v>
      </c>
      <c r="D37" s="66"/>
      <c r="E37" s="53"/>
      <c r="F37" s="77">
        <f>SUM(F34:F36)</f>
        <v>211</v>
      </c>
      <c r="G37" s="53"/>
      <c r="H37" s="53"/>
      <c r="I37" s="77">
        <f>SUM(I34:I36)</f>
        <v>975</v>
      </c>
      <c r="J37" s="78"/>
      <c r="K37" s="53"/>
      <c r="L37" s="77">
        <f>L34+L35+L36</f>
        <v>-5399</v>
      </c>
      <c r="M37" s="53"/>
      <c r="N37" s="53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14" s="10" customFormat="1" ht="15">
      <c r="A38" s="52"/>
      <c r="B38" s="52"/>
      <c r="C38" s="52"/>
      <c r="D38" s="52"/>
      <c r="E38" s="53"/>
      <c r="F38" s="54"/>
      <c r="G38" s="53"/>
      <c r="H38" s="53"/>
      <c r="I38" s="53"/>
      <c r="J38" s="54"/>
      <c r="K38" s="53"/>
      <c r="L38" s="53"/>
      <c r="M38" s="53"/>
      <c r="N38" s="53"/>
    </row>
    <row r="39" spans="1:25" ht="17.25" customHeight="1">
      <c r="A39" s="52"/>
      <c r="B39" s="52"/>
      <c r="C39" s="52"/>
      <c r="D39" s="52"/>
      <c r="E39" s="53"/>
      <c r="F39" s="54"/>
      <c r="G39" s="53"/>
      <c r="H39" s="53"/>
      <c r="I39" s="53"/>
      <c r="J39" s="54"/>
      <c r="K39" s="53"/>
      <c r="L39" s="53"/>
      <c r="M39" s="53"/>
      <c r="N39" s="53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2.75">
      <c r="A42" s="10"/>
      <c r="B42" s="10"/>
      <c r="C42" s="10"/>
      <c r="D42" s="10"/>
      <c r="E42" s="58"/>
      <c r="F42" s="3"/>
      <c r="G42" s="10"/>
      <c r="H42" s="10"/>
      <c r="I42" s="58"/>
      <c r="J42" s="3"/>
      <c r="K42" s="10"/>
      <c r="L42" s="10"/>
      <c r="M42" s="58"/>
      <c r="N42" s="10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5">
      <c r="A43" s="23"/>
      <c r="B43" s="23"/>
      <c r="C43" s="23"/>
      <c r="D43" s="23"/>
      <c r="E43" s="84"/>
      <c r="F43" s="80"/>
      <c r="G43" s="23"/>
      <c r="H43" s="23"/>
      <c r="I43" s="80"/>
      <c r="J43" s="80"/>
      <c r="K43" s="23"/>
      <c r="L43" s="23"/>
      <c r="M43" s="80"/>
      <c r="N43" s="23"/>
      <c r="O43" s="85"/>
      <c r="P43" s="85"/>
      <c r="Q43" s="85"/>
      <c r="R43" s="85"/>
      <c r="S43" s="85"/>
      <c r="T43" s="85"/>
      <c r="U43" s="85"/>
      <c r="V43" s="58"/>
      <c r="W43" s="58"/>
      <c r="X43" s="58"/>
      <c r="Y43" s="58"/>
    </row>
    <row r="44" spans="1:25" ht="12.75">
      <c r="A44" s="58"/>
      <c r="B44" s="58"/>
      <c r="C44" s="58"/>
      <c r="D44" s="58"/>
      <c r="E44" s="80"/>
      <c r="F44" s="58"/>
      <c r="G44" s="58"/>
      <c r="H44" s="58"/>
      <c r="I44" s="80"/>
      <c r="J44" s="58"/>
      <c r="K44" s="58"/>
      <c r="L44" s="58"/>
      <c r="M44" s="80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25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1:25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:25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25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:25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:25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:25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:25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1:25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1:25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1:25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1:25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1:25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1:25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1:25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1:25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1:25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1:25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1:25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1:25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1:2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5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5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:25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:25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:25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:25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:25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:25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:25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:25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:25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:25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:25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:25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:25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:25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:25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:25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:25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:25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:25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:25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:25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:25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:25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:25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1:25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:25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:25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:25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1:25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:25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:25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:25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:25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1:25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:25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:25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:25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:25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1:25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:25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:25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:25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:25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:25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:25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5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:25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:25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:25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:25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:25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:25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:25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:25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:25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25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:25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:25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:25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:25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:25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:25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:25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:25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:25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:25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:25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:25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:25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:25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:25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:25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:25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:25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:25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:25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:25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:25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:25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:25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:25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:25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:25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:25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:25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:25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:25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:25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:25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25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:25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:25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:25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:25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:25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:25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:25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:25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:25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:25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:25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:25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:25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:25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:25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:25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:25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:25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:25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:25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:25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:25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:25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:25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:25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:25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:25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:25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:25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:25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:25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:25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:25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25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:25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:25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:25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:25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:25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:25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25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:25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:25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:25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:25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:25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:25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:25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:25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:25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:25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:25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:25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:25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:25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:25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:25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:25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:25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:25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:25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:25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:25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:25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:25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:25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:25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:25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:25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:25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:25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:25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:25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:25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:25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:25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:25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:25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:25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:25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:25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:25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:25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:25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:25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:25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:25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:25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:25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:25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:25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:25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:25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:25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:25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:25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:25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:25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:25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:25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:25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:25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:25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:25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:25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:25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:25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:25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:25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:25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:25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:25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:25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:25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:25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:25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:25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:25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:25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:25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:25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:25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:25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:25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:25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:25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:25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:25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:25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:25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:25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:25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:25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:25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:25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:25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:25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:25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:25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:25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:25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:25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:25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:25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:25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:25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:25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:25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:25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:25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:25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:25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:25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:25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:25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:25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:25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:25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:25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:25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:25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:25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:25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:25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:25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:25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:25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:25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:25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:25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:25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:25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:25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:25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:25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:25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:25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:25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:25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:25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:25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:25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</sheetData>
  <mergeCells count="7">
    <mergeCell ref="B12:D12"/>
    <mergeCell ref="H11:K11"/>
    <mergeCell ref="L11:M11"/>
    <mergeCell ref="E12:G12"/>
    <mergeCell ref="H12:J12"/>
    <mergeCell ref="K12:M12"/>
    <mergeCell ref="E11:G11"/>
  </mergeCells>
  <printOptions/>
  <pageMargins left="0.5" right="0.5" top="0.6" bottom="0.6" header="0.25" footer="0.33"/>
  <pageSetup firstPageNumber="104" useFirstPageNumber="1" fitToWidth="2" fitToHeight="1" horizontalDpi="300" verticalDpi="300" orientation="portrait" r:id="rId1"/>
  <headerFooter alignWithMargins="0">
    <oddHeader>&amp;L&amp;"Times New Roman,Bold Italic"&amp;12&amp;U___________________________________________________________________________________&amp;C&amp;"Times New Roman,Bold Italic"&amp;12Connecticut</oddHeader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2013-03-01T16:58:10Z</cp:lastPrinted>
  <dcterms:created xsi:type="dcterms:W3CDTF">1999-04-07T15:14:14Z</dcterms:created>
  <dcterms:modified xsi:type="dcterms:W3CDTF">2013-03-01T16:58:19Z</dcterms:modified>
  <cp:category/>
  <cp:version/>
  <cp:contentType/>
  <cp:contentStatus/>
</cp:coreProperties>
</file>